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eira\Documents\Doutoramento\App\Soft\"/>
    </mc:Choice>
  </mc:AlternateContent>
  <bookViews>
    <workbookView xWindow="240" yWindow="132" windowWidth="15120" windowHeight="4956" tabRatio="791"/>
  </bookViews>
  <sheets>
    <sheet name="ULS" sheetId="3" r:id="rId1"/>
    <sheet name="SLS_inst" sheetId="29" r:id="rId2"/>
    <sheet name="SLS_fin" sheetId="32" r:id="rId3"/>
    <sheet name="Inst" sheetId="33" r:id="rId4"/>
  </sheets>
  <definedNames>
    <definedName name="b" localSheetId="3">Inst!$C$13</definedName>
    <definedName name="b" localSheetId="2">SLS_fin!$C$13</definedName>
    <definedName name="b" localSheetId="1">SLS_inst!$C$13</definedName>
    <definedName name="b" localSheetId="0">ULS!$C$14</definedName>
    <definedName name="b">#REF!</definedName>
    <definedName name="classe" localSheetId="3">#REF!</definedName>
    <definedName name="classe" localSheetId="2">#REF!</definedName>
    <definedName name="classe" localSheetId="1">#REF!</definedName>
    <definedName name="classe" localSheetId="0">#REF!</definedName>
    <definedName name="classe">#REF!</definedName>
    <definedName name="eci" localSheetId="3">Inst!$F$5</definedName>
    <definedName name="eci" localSheetId="2">SLS_fin!$F$5</definedName>
    <definedName name="eci" localSheetId="1">SLS_inst!$F$5</definedName>
    <definedName name="eci" localSheetId="0">ULS!$M$6</definedName>
    <definedName name="eci">#REF!</definedName>
    <definedName name="edo" localSheetId="3">Inst!$F$8</definedName>
    <definedName name="edo" localSheetId="2">SLS_fin!$F$8</definedName>
    <definedName name="edo" localSheetId="1">SLS_inst!$F$8</definedName>
    <definedName name="edo" localSheetId="0">ULS!$M$9</definedName>
    <definedName name="edo">#REF!</definedName>
    <definedName name="equ" localSheetId="3">Inst!$F$6</definedName>
    <definedName name="equ" localSheetId="2">SLS_fin!$F$6</definedName>
    <definedName name="equ" localSheetId="1">SLS_inst!$F$6</definedName>
    <definedName name="equ" localSheetId="0">ULS!$M$7</definedName>
    <definedName name="equ">#REF!</definedName>
    <definedName name="etr" localSheetId="3">Inst!$F$7</definedName>
    <definedName name="etr" localSheetId="2">SLS_fin!$F$7</definedName>
    <definedName name="etr" localSheetId="1">SLS_inst!$F$7</definedName>
    <definedName name="etr" localSheetId="0">ULS!$M$8</definedName>
    <definedName name="etr">#REF!</definedName>
    <definedName name="eum" localSheetId="3">Inst!$F$9</definedName>
    <definedName name="eum" localSheetId="2">SLS_fin!$F$9</definedName>
    <definedName name="eum" localSheetId="1">SLS_inst!$F$9</definedName>
    <definedName name="eum" localSheetId="0">ULS!$M$10</definedName>
    <definedName name="eum">#REF!</definedName>
    <definedName name="gci" localSheetId="3">Inst!$G$5</definedName>
    <definedName name="gci" localSheetId="2">SLS_fin!$G$5</definedName>
    <definedName name="gci" localSheetId="1">SLS_inst!$G$5</definedName>
    <definedName name="gci" localSheetId="0">ULS!$N$6</definedName>
    <definedName name="gci">#REF!</definedName>
    <definedName name="gdo" localSheetId="3">Inst!$G$8</definedName>
    <definedName name="gdo" localSheetId="2">SLS_fin!$G$8</definedName>
    <definedName name="gdo" localSheetId="1">SLS_inst!$G$8</definedName>
    <definedName name="gdo" localSheetId="0">ULS!$N$9</definedName>
    <definedName name="gdo">#REF!</definedName>
    <definedName name="gqu" localSheetId="3">Inst!$G$6</definedName>
    <definedName name="gqu" localSheetId="2">SLS_fin!$G$6</definedName>
    <definedName name="gqu" localSheetId="1">SLS_inst!$G$6</definedName>
    <definedName name="gqu" localSheetId="0">ULS!$N$7</definedName>
    <definedName name="gqu">#REF!</definedName>
    <definedName name="gtr" localSheetId="3">Inst!$G$7</definedName>
    <definedName name="gtr" localSheetId="2">SLS_fin!$G$7</definedName>
    <definedName name="gtr" localSheetId="1">SLS_inst!$G$7</definedName>
    <definedName name="gtr" localSheetId="0">ULS!$N$8</definedName>
    <definedName name="gtr">#REF!</definedName>
    <definedName name="gum" localSheetId="3">Inst!$G$9</definedName>
    <definedName name="gum" localSheetId="2">SLS_fin!$G$9</definedName>
    <definedName name="gum" localSheetId="1">SLS_inst!$G$9</definedName>
    <definedName name="gum" localSheetId="0">ULS!$N$10</definedName>
    <definedName name="gum">#REF!</definedName>
    <definedName name="h" localSheetId="3">Inst!$C$12</definedName>
    <definedName name="h" localSheetId="2">SLS_fin!$C$12</definedName>
    <definedName name="h" localSheetId="1">SLS_inst!$C$12</definedName>
    <definedName name="h" localSheetId="0">ULS!$C$13</definedName>
    <definedName name="h">#REF!</definedName>
    <definedName name="hci" localSheetId="3">Inst!$B$5</definedName>
    <definedName name="hci" localSheetId="2">SLS_fin!$B$5</definedName>
    <definedName name="hci" localSheetId="1">SLS_inst!$B$5</definedName>
    <definedName name="hci" localSheetId="0">ULS!$B$6</definedName>
    <definedName name="hci">#REF!</definedName>
    <definedName name="hdo" localSheetId="3">Inst!$B$8</definedName>
    <definedName name="hdo" localSheetId="2">SLS_fin!$B$8</definedName>
    <definedName name="hdo" localSheetId="1">SLS_inst!$B$8</definedName>
    <definedName name="hdo" localSheetId="0">ULS!$B$9</definedName>
    <definedName name="hdo">#REF!</definedName>
    <definedName name="hqu" localSheetId="3">Inst!$B$6</definedName>
    <definedName name="hqu" localSheetId="2">SLS_fin!$B$6</definedName>
    <definedName name="hqu" localSheetId="1">SLS_inst!$B$6</definedName>
    <definedName name="hqu" localSheetId="0">ULS!$B$7</definedName>
    <definedName name="hqu">#REF!</definedName>
    <definedName name="htr" localSheetId="3">Inst!$B$7</definedName>
    <definedName name="htr" localSheetId="2">SLS_fin!$B$7</definedName>
    <definedName name="htr" localSheetId="1">SLS_inst!$B$7</definedName>
    <definedName name="htr" localSheetId="0">ULS!$B$8</definedName>
    <definedName name="htr">#REF!</definedName>
    <definedName name="hum" localSheetId="3">Inst!$B$9</definedName>
    <definedName name="hum" localSheetId="2">SLS_fin!$B$9</definedName>
    <definedName name="hum" localSheetId="1">SLS_inst!$B$9</definedName>
    <definedName name="hum" localSheetId="0">ULS!$B$10</definedName>
    <definedName name="hum">#REF!</definedName>
    <definedName name="kclt" localSheetId="3">Inst!$D$26</definedName>
    <definedName name="kclt" localSheetId="2">SLS_fin!$D$26</definedName>
    <definedName name="kclt" localSheetId="1">SLS_inst!$D$26</definedName>
    <definedName name="kclt" localSheetId="0">ULS!$D$26</definedName>
    <definedName name="kclt">#REF!</definedName>
    <definedName name="material" localSheetId="3">#REF!</definedName>
    <definedName name="material" localSheetId="2">#REF!</definedName>
    <definedName name="material" localSheetId="1">#REF!</definedName>
    <definedName name="material" localSheetId="0">#REF!</definedName>
    <definedName name="material">#REF!</definedName>
    <definedName name="n" localSheetId="3">Inst!$C$14</definedName>
    <definedName name="n" localSheetId="2">SLS_fin!$C$14</definedName>
    <definedName name="n" localSheetId="1">SLS_inst!$C$14</definedName>
    <definedName name="n" localSheetId="0">ULS!$C$15</definedName>
    <definedName name="n">#REF!</definedName>
    <definedName name="neve" localSheetId="3">#REF!</definedName>
    <definedName name="neve" localSheetId="2">#REF!</definedName>
    <definedName name="neve" localSheetId="1">#REF!</definedName>
    <definedName name="neve" localSheetId="0">#REF!</definedName>
    <definedName name="neve">#REF!</definedName>
    <definedName name="orientação" localSheetId="3">#REF!</definedName>
    <definedName name="orientação" localSheetId="2">#REF!</definedName>
    <definedName name="orientação" localSheetId="1">#REF!</definedName>
    <definedName name="orientação" localSheetId="0">#REF!</definedName>
    <definedName name="orientação">#REF!</definedName>
    <definedName name="sobrecarga" localSheetId="3">#REF!</definedName>
    <definedName name="sobrecarga" localSheetId="2">#REF!</definedName>
    <definedName name="sobrecarga" localSheetId="1">#REF!</definedName>
    <definedName name="sobrecarga" localSheetId="0">#REF!</definedName>
    <definedName name="sobrecarga">#REF!</definedName>
    <definedName name="sobrecargas" localSheetId="3">#REF!</definedName>
    <definedName name="sobrecargas" localSheetId="2">#REF!</definedName>
    <definedName name="sobrecargas" localSheetId="1">#REF!</definedName>
    <definedName name="sobrecargas" localSheetId="0">#REF!</definedName>
    <definedName name="sobrecargas">#REF!</definedName>
  </definedNames>
  <calcPr calcId="152511"/>
</workbook>
</file>

<file path=xl/calcChain.xml><?xml version="1.0" encoding="utf-8"?>
<calcChain xmlns="http://schemas.openxmlformats.org/spreadsheetml/2006/main">
  <c r="B7" i="3" l="1"/>
  <c r="S10" i="3"/>
  <c r="S9" i="3"/>
  <c r="S8" i="3"/>
  <c r="S7" i="3"/>
  <c r="S6" i="3"/>
  <c r="T10" i="3"/>
  <c r="T9" i="3"/>
  <c r="T8" i="3"/>
  <c r="T7" i="3"/>
  <c r="T6" i="3"/>
  <c r="C11" i="33" l="1"/>
  <c r="G6" i="3" l="1"/>
  <c r="X6" i="3" l="1"/>
  <c r="X10" i="3" s="1"/>
  <c r="W10" i="3"/>
  <c r="C11" i="32"/>
  <c r="C11" i="29"/>
  <c r="C9" i="33" l="1"/>
  <c r="A9" i="33"/>
  <c r="C8" i="33"/>
  <c r="A8" i="33"/>
  <c r="C7" i="33"/>
  <c r="B7" i="33"/>
  <c r="A7" i="33"/>
  <c r="C6" i="33"/>
  <c r="A6" i="33"/>
  <c r="C5" i="33"/>
  <c r="B5" i="33"/>
  <c r="A5" i="33"/>
  <c r="C13" i="33" l="1"/>
  <c r="B40" i="3" l="1"/>
  <c r="B39" i="3"/>
  <c r="B36" i="3"/>
  <c r="B6" i="33" l="1"/>
  <c r="L9" i="3" l="1"/>
  <c r="K9" i="3"/>
  <c r="V8" i="3" l="1"/>
  <c r="V6" i="3"/>
  <c r="U10" i="3"/>
  <c r="U9" i="3"/>
  <c r="B40" i="32" l="1"/>
  <c r="B120" i="3" s="1"/>
  <c r="R7" i="3"/>
  <c r="B30" i="32"/>
  <c r="C9" i="32"/>
  <c r="A9" i="32"/>
  <c r="C8" i="32"/>
  <c r="A8" i="32"/>
  <c r="C7" i="32"/>
  <c r="B7" i="32"/>
  <c r="A7" i="32"/>
  <c r="C6" i="32"/>
  <c r="A6" i="32"/>
  <c r="C5" i="32"/>
  <c r="C13" i="32" s="1"/>
  <c r="B5" i="32"/>
  <c r="A5" i="32"/>
  <c r="B39" i="29"/>
  <c r="B117" i="3" s="1"/>
  <c r="F6" i="29"/>
  <c r="G6" i="29"/>
  <c r="F7" i="29"/>
  <c r="G7" i="29"/>
  <c r="F8" i="29"/>
  <c r="N7" i="3"/>
  <c r="N8" i="3"/>
  <c r="M7" i="3"/>
  <c r="M8" i="3"/>
  <c r="A6" i="29"/>
  <c r="C6" i="29"/>
  <c r="A7" i="29"/>
  <c r="B7" i="29"/>
  <c r="C7" i="29"/>
  <c r="A8" i="29"/>
  <c r="C8" i="29"/>
  <c r="A9" i="29"/>
  <c r="C9" i="29"/>
  <c r="B5" i="29"/>
  <c r="C5" i="29"/>
  <c r="A5" i="29"/>
  <c r="B30" i="29"/>
  <c r="B10" i="3"/>
  <c r="B9" i="33" s="1"/>
  <c r="G6" i="32" l="1"/>
  <c r="G6" i="33"/>
  <c r="G7" i="32"/>
  <c r="G7" i="33"/>
  <c r="F6" i="32"/>
  <c r="F6" i="33"/>
  <c r="F7" i="32"/>
  <c r="F7" i="33"/>
  <c r="B9" i="29"/>
  <c r="V10" i="3"/>
  <c r="B9" i="3"/>
  <c r="B8" i="33" s="1"/>
  <c r="V7" i="3"/>
  <c r="B6" i="32"/>
  <c r="B9" i="32"/>
  <c r="B6" i="29"/>
  <c r="C12" i="33" l="1"/>
  <c r="B8" i="29"/>
  <c r="V9" i="3"/>
  <c r="B125" i="3" s="1"/>
  <c r="D125" i="3" s="1"/>
  <c r="D137" i="3" s="1"/>
  <c r="B8" i="32"/>
  <c r="C12" i="32" s="1"/>
  <c r="R8" i="3"/>
  <c r="P10" i="3"/>
  <c r="P9" i="3"/>
  <c r="R9" i="3" s="1"/>
  <c r="O10" i="3"/>
  <c r="Q6" i="3"/>
  <c r="Q10" i="3" s="1"/>
  <c r="L6" i="3"/>
  <c r="L10" i="3" s="1"/>
  <c r="K6" i="3"/>
  <c r="K10" i="3" s="1"/>
  <c r="J10" i="3"/>
  <c r="J9" i="3"/>
  <c r="F5" i="29" l="1"/>
  <c r="M9" i="3"/>
  <c r="G8" i="29"/>
  <c r="G9" i="29"/>
  <c r="G5" i="29"/>
  <c r="M10" i="3"/>
  <c r="M6" i="3"/>
  <c r="N10" i="3"/>
  <c r="N6" i="3"/>
  <c r="N9" i="3"/>
  <c r="C13" i="29"/>
  <c r="F8" i="32" l="1"/>
  <c r="F8" i="33"/>
  <c r="G9" i="32"/>
  <c r="G9" i="33"/>
  <c r="F5" i="32"/>
  <c r="F5" i="33"/>
  <c r="G5" i="32"/>
  <c r="G5" i="33"/>
  <c r="G8" i="32"/>
  <c r="G8" i="33"/>
  <c r="F9" i="29"/>
  <c r="C12" i="29"/>
  <c r="P78" i="3"/>
  <c r="D76" i="3"/>
  <c r="D73" i="3"/>
  <c r="D70" i="3"/>
  <c r="D67" i="3"/>
  <c r="D64" i="3"/>
  <c r="B60" i="3"/>
  <c r="D58" i="3"/>
  <c r="D56" i="3"/>
  <c r="D54" i="3"/>
  <c r="D52" i="3"/>
  <c r="D50" i="3"/>
  <c r="C14" i="3"/>
  <c r="B58" i="3"/>
  <c r="B57" i="3" s="1"/>
  <c r="E8" i="3"/>
  <c r="E7" i="33" s="1"/>
  <c r="D8" i="3"/>
  <c r="D7" i="33" s="1"/>
  <c r="E7" i="3"/>
  <c r="E6" i="33" s="1"/>
  <c r="D7" i="3"/>
  <c r="E6" i="3"/>
  <c r="E5" i="33" s="1"/>
  <c r="D6" i="3"/>
  <c r="D5" i="33" l="1"/>
  <c r="D6" i="33"/>
  <c r="F9" i="32"/>
  <c r="F9" i="33"/>
  <c r="D7" i="29"/>
  <c r="D7" i="32"/>
  <c r="E5" i="29"/>
  <c r="E5" i="32"/>
  <c r="D5" i="29"/>
  <c r="D5" i="32"/>
  <c r="E7" i="29"/>
  <c r="E7" i="32"/>
  <c r="E6" i="29"/>
  <c r="E6" i="32"/>
  <c r="D6" i="29"/>
  <c r="D6" i="32"/>
  <c r="B56" i="3"/>
  <c r="B55" i="3" s="1"/>
  <c r="D10" i="3"/>
  <c r="B54" i="3"/>
  <c r="B53" i="3" s="1"/>
  <c r="B50" i="3"/>
  <c r="B49" i="3" s="1"/>
  <c r="P76" i="3"/>
  <c r="P75" i="3" s="1"/>
  <c r="P73" i="3" s="1"/>
  <c r="P72" i="3" s="1"/>
  <c r="P70" i="3" s="1"/>
  <c r="P69" i="3" s="1"/>
  <c r="P67" i="3" s="1"/>
  <c r="P66" i="3" s="1"/>
  <c r="P64" i="3" s="1"/>
  <c r="D9" i="3"/>
  <c r="D8" i="33" s="1"/>
  <c r="E10" i="3"/>
  <c r="E9" i="33" s="1"/>
  <c r="E9" i="3"/>
  <c r="E8" i="33" s="1"/>
  <c r="C13" i="3"/>
  <c r="B52" i="3"/>
  <c r="B51" i="3" s="1"/>
  <c r="B35" i="3" l="1"/>
  <c r="B44" i="3" s="1"/>
  <c r="C14" i="33"/>
  <c r="B24" i="33" s="1"/>
  <c r="C24" i="33" s="1"/>
  <c r="D24" i="33" s="1"/>
  <c r="D9" i="33"/>
  <c r="D8" i="29"/>
  <c r="D8" i="32"/>
  <c r="D9" i="29"/>
  <c r="D9" i="32"/>
  <c r="E8" i="29"/>
  <c r="E8" i="32"/>
  <c r="E9" i="29"/>
  <c r="E9" i="32"/>
  <c r="B38" i="3"/>
  <c r="B37" i="3"/>
  <c r="C15" i="3"/>
  <c r="B22" i="33" l="1"/>
  <c r="C22" i="33" s="1"/>
  <c r="D22" i="33" s="1"/>
  <c r="B21" i="33"/>
  <c r="C21" i="33" s="1"/>
  <c r="D21" i="33" s="1"/>
  <c r="B25" i="33"/>
  <c r="C25" i="33" s="1"/>
  <c r="D25" i="33" s="1"/>
  <c r="B23" i="33"/>
  <c r="C23" i="33" s="1"/>
  <c r="D23" i="33" s="1"/>
  <c r="B25" i="3"/>
  <c r="C25" i="3" s="1"/>
  <c r="D25" i="3" s="1"/>
  <c r="C14" i="29"/>
  <c r="B25" i="29" s="1"/>
  <c r="C25" i="29" s="1"/>
  <c r="D25" i="29" s="1"/>
  <c r="C14" i="32"/>
  <c r="B22" i="32" s="1"/>
  <c r="C22" i="32" s="1"/>
  <c r="D22" i="32" s="1"/>
  <c r="Q68" i="3"/>
  <c r="C71" i="3"/>
  <c r="D89" i="3" s="1"/>
  <c r="C65" i="3"/>
  <c r="F83" i="3" s="1"/>
  <c r="Q65" i="3"/>
  <c r="C88" i="3"/>
  <c r="P68" i="3"/>
  <c r="P74" i="3"/>
  <c r="P71" i="3"/>
  <c r="C77" i="3"/>
  <c r="B95" i="3" s="1"/>
  <c r="B21" i="3"/>
  <c r="C21" i="3" s="1"/>
  <c r="D21" i="3" s="1"/>
  <c r="F85" i="3"/>
  <c r="C64" i="3"/>
  <c r="F82" i="3" s="1"/>
  <c r="C78" i="3"/>
  <c r="B96" i="3" s="1"/>
  <c r="C72" i="3"/>
  <c r="D90" i="3" s="1"/>
  <c r="C69" i="3"/>
  <c r="E87" i="3" s="1"/>
  <c r="Q71" i="3"/>
  <c r="B88" i="3"/>
  <c r="C67" i="3"/>
  <c r="E85" i="3" s="1"/>
  <c r="C74" i="3"/>
  <c r="C70" i="3"/>
  <c r="D88" i="3" s="1"/>
  <c r="C75" i="3"/>
  <c r="C93" i="3" s="1"/>
  <c r="C66" i="3"/>
  <c r="F84" i="3" s="1"/>
  <c r="C76" i="3"/>
  <c r="B94" i="3" s="1"/>
  <c r="B91" i="3"/>
  <c r="Q74" i="3"/>
  <c r="B23" i="3"/>
  <c r="C23" i="3" s="1"/>
  <c r="D23" i="3" s="1"/>
  <c r="C73" i="3"/>
  <c r="C91" i="3" s="1"/>
  <c r="B22" i="3"/>
  <c r="C22" i="3" s="1"/>
  <c r="D22" i="3" s="1"/>
  <c r="P77" i="3"/>
  <c r="Q77" i="3"/>
  <c r="P65" i="3"/>
  <c r="B24" i="3"/>
  <c r="C24" i="3" s="1"/>
  <c r="D24" i="3" s="1"/>
  <c r="C68" i="3"/>
  <c r="E86" i="3" s="1"/>
  <c r="D26" i="33" l="1"/>
  <c r="B105" i="3" s="1"/>
  <c r="B21" i="29"/>
  <c r="C21" i="29" s="1"/>
  <c r="D21" i="29" s="1"/>
  <c r="B24" i="29"/>
  <c r="C24" i="29" s="1"/>
  <c r="D24" i="29" s="1"/>
  <c r="B21" i="32"/>
  <c r="C21" i="32" s="1"/>
  <c r="D21" i="32" s="1"/>
  <c r="B24" i="32"/>
  <c r="C24" i="32" s="1"/>
  <c r="D24" i="32" s="1"/>
  <c r="B25" i="32"/>
  <c r="C25" i="32" s="1"/>
  <c r="D25" i="32" s="1"/>
  <c r="B23" i="32"/>
  <c r="C23" i="32" s="1"/>
  <c r="D23" i="32" s="1"/>
  <c r="B22" i="29"/>
  <c r="C22" i="29" s="1"/>
  <c r="D22" i="29" s="1"/>
  <c r="B23" i="29"/>
  <c r="C23" i="29" s="1"/>
  <c r="D23" i="29" s="1"/>
  <c r="C92" i="3"/>
  <c r="D26" i="3"/>
  <c r="F26" i="33" l="1"/>
  <c r="C51" i="3"/>
  <c r="E51" i="3" s="1"/>
  <c r="C50" i="3"/>
  <c r="C58" i="3"/>
  <c r="C59" i="3"/>
  <c r="E59" i="3" s="1"/>
  <c r="D26" i="29"/>
  <c r="F26" i="29" s="1"/>
  <c r="B35" i="29" s="1"/>
  <c r="D26" i="32"/>
  <c r="B34" i="32" s="1"/>
  <c r="B71" i="3"/>
  <c r="E71" i="3" s="1"/>
  <c r="C55" i="3"/>
  <c r="E55" i="3" s="1"/>
  <c r="B73" i="3"/>
  <c r="E73" i="3" s="1"/>
  <c r="C53" i="3"/>
  <c r="E53" i="3" s="1"/>
  <c r="C56" i="3"/>
  <c r="E56" i="3" s="1"/>
  <c r="B69" i="3"/>
  <c r="E69" i="3" s="1"/>
  <c r="B70" i="3"/>
  <c r="E70" i="3" s="1"/>
  <c r="B76" i="3"/>
  <c r="E76" i="3" s="1"/>
  <c r="F26" i="3"/>
  <c r="B67" i="3"/>
  <c r="E67" i="3" s="1"/>
  <c r="C52" i="3"/>
  <c r="E52" i="3" s="1"/>
  <c r="B75" i="3"/>
  <c r="E75" i="3" s="1"/>
  <c r="B66" i="3"/>
  <c r="E66" i="3" s="1"/>
  <c r="B77" i="3"/>
  <c r="E77" i="3" s="1"/>
  <c r="B64" i="3"/>
  <c r="E64" i="3" s="1"/>
  <c r="B78" i="3"/>
  <c r="E78" i="3" s="1"/>
  <c r="B65" i="3"/>
  <c r="E65" i="3" s="1"/>
  <c r="C54" i="3"/>
  <c r="B74" i="3"/>
  <c r="E74" i="3" s="1"/>
  <c r="B72" i="3"/>
  <c r="E72" i="3" s="1"/>
  <c r="C57" i="3"/>
  <c r="E57" i="3" s="1"/>
  <c r="B68" i="3"/>
  <c r="E68" i="3" s="1"/>
  <c r="E50" i="3" l="1"/>
  <c r="E60" i="3" s="1"/>
  <c r="B100" i="3"/>
  <c r="D100" i="3" s="1"/>
  <c r="D133" i="3" s="1"/>
  <c r="B106" i="3"/>
  <c r="B107" i="3" s="1"/>
  <c r="B108" i="3" s="1"/>
  <c r="B110" i="3" s="1"/>
  <c r="B111" i="3" s="1"/>
  <c r="B112" i="3" s="1"/>
  <c r="D112" i="3" s="1"/>
  <c r="D134" i="3" s="1"/>
  <c r="B34" i="29"/>
  <c r="B36" i="29" s="1"/>
  <c r="F26" i="32"/>
  <c r="B35" i="32" s="1"/>
  <c r="F73" i="3"/>
  <c r="F58" i="3"/>
  <c r="E54" i="3"/>
  <c r="F70" i="3"/>
  <c r="D132" i="3" s="1"/>
  <c r="F50" i="3"/>
  <c r="E58" i="3"/>
  <c r="F67" i="3"/>
  <c r="D131" i="3" s="1"/>
  <c r="E79" i="3"/>
  <c r="D35" i="29" l="1"/>
  <c r="C37" i="29"/>
  <c r="B116" i="3"/>
  <c r="D117" i="3" s="1"/>
  <c r="D135" i="3" s="1"/>
  <c r="B36" i="32"/>
  <c r="B37" i="32" s="1"/>
  <c r="D34" i="32" s="1"/>
  <c r="D34" i="29"/>
  <c r="D35" i="32" l="1"/>
  <c r="C38" i="32"/>
  <c r="B119" i="3"/>
  <c r="D120" i="3" s="1"/>
  <c r="D136" i="3" s="1"/>
</calcChain>
</file>

<file path=xl/sharedStrings.xml><?xml version="1.0" encoding="utf-8"?>
<sst xmlns="http://schemas.openxmlformats.org/spreadsheetml/2006/main" count="283" uniqueCount="120">
  <si>
    <t>b (mm)</t>
  </si>
  <si>
    <t>h (mm)</t>
  </si>
  <si>
    <t>y1 (mm)</t>
  </si>
  <si>
    <t>Dimensões e Propriedades da secção</t>
  </si>
  <si>
    <t>Inércia e Propriedades de Rigidez</t>
  </si>
  <si>
    <t>Lamela 5</t>
  </si>
  <si>
    <t>Lamela 4</t>
  </si>
  <si>
    <t>Lamela 3</t>
  </si>
  <si>
    <t>Lamela 2</t>
  </si>
  <si>
    <t>Lamela 1</t>
  </si>
  <si>
    <t>Inércia de cada lamela em</t>
  </si>
  <si>
    <t>mm</t>
  </si>
  <si>
    <t>e (mm)</t>
  </si>
  <si>
    <t>distancia do cg da</t>
  </si>
  <si>
    <t xml:space="preserve">lamela ao en </t>
  </si>
  <si>
    <t>Rigidez de cada lamela em</t>
  </si>
  <si>
    <t>relação ao e.n da secção</t>
  </si>
  <si>
    <t>L</t>
  </si>
  <si>
    <t>N.mm</t>
  </si>
  <si>
    <t>N</t>
  </si>
  <si>
    <t>b</t>
  </si>
  <si>
    <t>S1</t>
  </si>
  <si>
    <t>S2</t>
  </si>
  <si>
    <t>S3</t>
  </si>
  <si>
    <t>S4</t>
  </si>
  <si>
    <t>S5</t>
  </si>
  <si>
    <t>relação ao eixo neutro</t>
  </si>
  <si>
    <t>η (%)</t>
  </si>
  <si>
    <t>Segurança</t>
  </si>
  <si>
    <t>Integrais</t>
  </si>
  <si>
    <t>altura desde a base (mm)</t>
  </si>
  <si>
    <r>
      <t>I (mm</t>
    </r>
    <r>
      <rPr>
        <b/>
        <vertAlign val="super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)</t>
    </r>
  </si>
  <si>
    <r>
      <t>E.I (N.mm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</si>
  <si>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A (mm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</si>
  <si>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S (mm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</si>
  <si>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h</t>
  </si>
  <si>
    <t>M.s estáticos em relação ao topo</t>
  </si>
  <si>
    <t>η M (%)</t>
  </si>
  <si>
    <t>η V (%)</t>
  </si>
  <si>
    <r>
      <t>GA</t>
    </r>
    <r>
      <rPr>
        <vertAlign val="subscript"/>
        <sz val="11"/>
        <color theme="1"/>
        <rFont val="Calibri"/>
        <family val="2"/>
        <scheme val="minor"/>
      </rPr>
      <t>CLT</t>
    </r>
  </si>
  <si>
    <t>posição do e.n em relação ao topo da secção:      n</t>
  </si>
  <si>
    <r>
      <t>fm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</si>
  <si>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fv fr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</si>
  <si>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Esforços</t>
  </si>
  <si>
    <t>dM</t>
  </si>
  <si>
    <t>dV</t>
  </si>
  <si>
    <t>dT</t>
  </si>
  <si>
    <t>N/mm</t>
  </si>
  <si>
    <t>ATENÇÃO - Não é válida para secçoes com b variavel</t>
  </si>
  <si>
    <t>def máx</t>
  </si>
  <si>
    <r>
      <t>EI</t>
    </r>
    <r>
      <rPr>
        <vertAlign val="subscript"/>
        <sz val="11"/>
        <color theme="1"/>
        <rFont val="Calibri"/>
        <family val="2"/>
        <scheme val="minor"/>
      </rPr>
      <t>CLT</t>
    </r>
    <r>
      <rPr>
        <sz val="11"/>
        <color theme="1"/>
        <rFont val="Calibri"/>
        <family val="2"/>
        <scheme val="minor"/>
      </rPr>
      <t>ULS</t>
    </r>
  </si>
  <si>
    <t>kmod</t>
  </si>
  <si>
    <t>kdef</t>
  </si>
  <si>
    <r>
      <t>Emean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</si>
  <si>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Gmean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</si>
  <si>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</rPr>
      <t>Ψ</t>
    </r>
    <r>
      <rPr>
        <b/>
        <sz val="7.7"/>
        <color theme="1"/>
        <rFont val="Calibri"/>
        <family val="2"/>
      </rPr>
      <t>2</t>
    </r>
  </si>
  <si>
    <r>
      <t>fm,d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</si>
  <si>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fv,d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</si>
  <si>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ϒm</t>
  </si>
  <si>
    <t>L/300</t>
  </si>
  <si>
    <t>-</t>
  </si>
  <si>
    <t>Deformações Instantaneas</t>
  </si>
  <si>
    <t>pSLSinst</t>
  </si>
  <si>
    <t>pSLSfin</t>
  </si>
  <si>
    <r>
      <t>Emean,fin,ULS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</si>
  <si>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Gmean,fin,ULS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</si>
  <si>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L/150</t>
  </si>
  <si>
    <r>
      <t>Emean,fin,SLS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</si>
  <si>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Gmean,fin,SLS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</si>
  <si>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Deformações finais</t>
  </si>
  <si>
    <t>dT inst</t>
  </si>
  <si>
    <t>def inst máx</t>
  </si>
  <si>
    <t>dT fin</t>
  </si>
  <si>
    <t>def fin máx</t>
  </si>
  <si>
    <t>λ</t>
  </si>
  <si>
    <t>R</t>
  </si>
  <si>
    <t>Rsi</t>
  </si>
  <si>
    <t>Rse</t>
  </si>
  <si>
    <t>Isolamento térmico</t>
  </si>
  <si>
    <t>Resumo das verificações</t>
  </si>
  <si>
    <t>Resistência ao corte madeira</t>
  </si>
  <si>
    <t>Resistência ao corte poliuretano</t>
  </si>
  <si>
    <t>deformação instantanea</t>
  </si>
  <si>
    <t>deformação final</t>
  </si>
  <si>
    <r>
      <t>Ψ</t>
    </r>
    <r>
      <rPr>
        <b/>
        <sz val="7.7"/>
        <color theme="1"/>
        <rFont val="Calibri"/>
        <family val="2"/>
      </rPr>
      <t>0</t>
    </r>
  </si>
  <si>
    <r>
      <t>U</t>
    </r>
    <r>
      <rPr>
        <b/>
        <vertAlign val="subscript"/>
        <sz val="11"/>
        <color theme="1"/>
        <rFont val="Calibri"/>
        <family val="2"/>
        <scheme val="minor"/>
      </rPr>
      <t>máx</t>
    </r>
    <r>
      <rPr>
        <b/>
        <sz val="11"/>
        <color theme="1"/>
        <rFont val="Calibri"/>
        <family val="2"/>
        <scheme val="minor"/>
      </rPr>
      <t xml:space="preserve"> (W/(m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.ºC))</t>
    </r>
  </si>
  <si>
    <r>
      <t>U (W/(m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.ºC))</t>
    </r>
  </si>
  <si>
    <t>H</t>
  </si>
  <si>
    <t>p lateral ULS</t>
  </si>
  <si>
    <r>
      <t>Qkvento (kN/m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</si>
  <si>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G</t>
    </r>
    <r>
      <rPr>
        <b/>
        <vertAlign val="subscript"/>
        <sz val="11"/>
        <color theme="1"/>
        <rFont val="Calibri"/>
        <family val="2"/>
        <scheme val="minor"/>
      </rPr>
      <t>k</t>
    </r>
    <r>
      <rPr>
        <b/>
        <sz val="11"/>
        <color theme="1"/>
        <rFont val="Calibri"/>
        <family val="2"/>
        <scheme val="minor"/>
      </rPr>
      <t xml:space="preserve"> (kN/m)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</si>
  <si>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k</t>
    </r>
    <r>
      <rPr>
        <b/>
        <sz val="11"/>
        <color theme="1"/>
        <rFont val="Calibri"/>
        <family val="2"/>
        <scheme val="minor"/>
      </rPr>
      <t xml:space="preserve"> (kN/m)</t>
    </r>
  </si>
  <si>
    <t>Instabilidade</t>
  </si>
  <si>
    <r>
      <t>σ</t>
    </r>
    <r>
      <rPr>
        <b/>
        <vertAlign val="subscript"/>
        <sz val="11"/>
        <color theme="1"/>
        <rFont val="Calibri"/>
        <family val="2"/>
        <scheme val="minor"/>
      </rPr>
      <t xml:space="preserve">c </t>
    </r>
    <r>
      <rPr>
        <b/>
        <sz val="11"/>
        <color theme="1"/>
        <rFont val="Calibri"/>
        <family val="2"/>
        <scheme val="minor"/>
      </rPr>
      <t>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</si>
  <si>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σ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</si>
  <si>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τ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</si>
  <si>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f</t>
    </r>
    <r>
      <rPr>
        <b/>
        <vertAlign val="subscript"/>
        <sz val="11"/>
        <rFont val="Calibri"/>
        <family val="2"/>
        <scheme val="minor"/>
      </rPr>
      <t>m,d</t>
    </r>
    <r>
      <rPr>
        <b/>
        <sz val="11"/>
        <rFont val="Calibri"/>
        <family val="2"/>
        <scheme val="minor"/>
      </rPr>
      <t xml:space="preserve"> (N/mm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</si>
  <si>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r>
      <t>f</t>
    </r>
    <r>
      <rPr>
        <b/>
        <vertAlign val="subscript"/>
        <sz val="11"/>
        <rFont val="Calibri"/>
        <family val="2"/>
        <scheme val="minor"/>
      </rPr>
      <t>v,d</t>
    </r>
    <r>
      <rPr>
        <b/>
        <sz val="11"/>
        <rFont val="Calibri"/>
        <family val="2"/>
        <scheme val="minor"/>
      </rPr>
      <t xml:space="preserve"> (N/mm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</si>
  <si>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Tensões Normais e Tangenciais devido à flexão</t>
  </si>
  <si>
    <t>Tensões normais devido à compressão</t>
  </si>
  <si>
    <t>Deformações devido à flexão</t>
  </si>
  <si>
    <r>
      <t>l</t>
    </r>
    <r>
      <rPr>
        <b/>
        <vertAlign val="subscript"/>
        <sz val="11"/>
        <color theme="1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>/l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</si>
  <si>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 xml:space="preserve">cr </t>
    </r>
    <r>
      <rPr>
        <b/>
        <sz val="11"/>
        <color theme="1"/>
        <rFont val="Calibri"/>
        <family val="2"/>
        <scheme val="minor"/>
      </rPr>
      <t>(N</t>
    </r>
    <r>
      <rPr>
        <b/>
        <sz val="11"/>
        <color theme="1"/>
        <rFont val="Calibri"/>
        <family val="2"/>
        <scheme val="minor"/>
      </rPr>
      <t>)</t>
    </r>
  </si>
  <si>
    <r>
      <t>EI</t>
    </r>
    <r>
      <rPr>
        <b/>
        <vertAlign val="subscript"/>
        <sz val="11"/>
        <color theme="1"/>
        <rFont val="Calibri"/>
        <family val="2"/>
        <scheme val="minor"/>
      </rPr>
      <t xml:space="preserve">005 </t>
    </r>
    <r>
      <rPr>
        <b/>
        <sz val="11"/>
        <color theme="1"/>
        <rFont val="Calibri"/>
        <family val="2"/>
        <scheme val="minor"/>
      </rPr>
      <t>(N.mm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</si>
  <si>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GA</t>
    </r>
    <r>
      <rPr>
        <b/>
        <vertAlign val="subscript"/>
        <sz val="11"/>
        <color theme="1"/>
        <rFont val="Calibri"/>
        <family val="2"/>
        <scheme val="minor"/>
      </rPr>
      <t xml:space="preserve">005 </t>
    </r>
    <r>
      <rPr>
        <b/>
        <sz val="11"/>
        <color theme="1"/>
        <rFont val="Calibri"/>
        <family val="2"/>
        <scheme val="minor"/>
      </rPr>
      <t>(N.mm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</si>
  <si>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E005(N/mm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</si>
  <si>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G005(N/mm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</si>
  <si>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</rPr>
      <t>λ</t>
    </r>
    <r>
      <rPr>
        <b/>
        <vertAlign val="subscript"/>
        <sz val="11"/>
        <color theme="1"/>
        <rFont val="Calibri"/>
        <family val="2"/>
        <scheme val="minor"/>
      </rPr>
      <t>rel</t>
    </r>
  </si>
  <si>
    <r>
      <t>fc,0,k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</si>
  <si>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β</t>
    </r>
    <r>
      <rPr>
        <b/>
        <vertAlign val="subscript"/>
        <sz val="11"/>
        <color theme="1"/>
        <rFont val="Calibri"/>
        <family val="2"/>
        <scheme val="minor"/>
      </rPr>
      <t>c</t>
    </r>
  </si>
  <si>
    <t>k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</si>
  <si>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c</t>
    </r>
  </si>
  <si>
    <r>
      <t>fc,0,d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</si>
  <si>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Interação</t>
  </si>
  <si>
    <t>Flexão com compressão axial</t>
  </si>
  <si>
    <t>N ULS</t>
  </si>
  <si>
    <t>M ULS</t>
  </si>
  <si>
    <t>V ULS</t>
  </si>
  <si>
    <t>p SLSinst</t>
  </si>
  <si>
    <t>p SLSfin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</si>
</sst>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%"/>
    <numFmt numFmtId="167" formatCode="0.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7.7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0" borderId="0" xfId="0" applyFont="1" applyAlignment="1">
      <alignment horizontal="right"/>
    </xf>
    <xf numFmtId="164" fontId="0" fillId="2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Font="1"/>
    <xf numFmtId="1" fontId="0" fillId="5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5" fontId="0" fillId="3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0" fillId="0" borderId="0" xfId="0" applyFill="1"/>
    <xf numFmtId="0" fontId="1" fillId="0" borderId="0" xfId="0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0" fillId="3" borderId="0" xfId="0" applyNumberForma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6" fontId="0" fillId="2" borderId="0" xfId="0" applyNumberFormat="1" applyFill="1" applyAlignment="1">
      <alignment horizontal="center"/>
    </xf>
    <xf numFmtId="166" fontId="0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1" fontId="0" fillId="2" borderId="0" xfId="0" applyNumberFormat="1" applyFill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8" fillId="7" borderId="0" xfId="0" applyNumberFormat="1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0" fontId="1" fillId="0" borderId="0" xfId="0" applyFont="1"/>
    <xf numFmtId="164" fontId="0" fillId="0" borderId="0" xfId="0" applyNumberFormat="1"/>
    <xf numFmtId="0" fontId="4" fillId="0" borderId="0" xfId="0" applyFont="1"/>
    <xf numFmtId="0" fontId="9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vertical="center" wrapText="1"/>
    </xf>
    <xf numFmtId="9" fontId="0" fillId="0" borderId="0" xfId="0" applyNumberFormat="1" applyAlignment="1">
      <alignment horizontal="center"/>
    </xf>
    <xf numFmtId="11" fontId="0" fillId="2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165" fontId="0" fillId="4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4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7" fontId="0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 vertical="center"/>
    </xf>
    <xf numFmtId="165" fontId="0" fillId="3" borderId="0" xfId="0" applyNumberFormat="1" applyFont="1" applyFill="1" applyAlignment="1">
      <alignment horizontal="center" vertical="center"/>
    </xf>
    <xf numFmtId="165" fontId="0" fillId="2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165" fontId="1" fillId="5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1" fontId="0" fillId="3" borderId="0" xfId="0" applyNumberFormat="1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165" fontId="0" fillId="2" borderId="0" xfId="0" applyNumberFormat="1" applyFont="1" applyFill="1" applyAlignment="1">
      <alignment horizontal="center" vertical="center"/>
    </xf>
    <xf numFmtId="164" fontId="0" fillId="3" borderId="0" xfId="0" applyNumberFormat="1" applyFont="1" applyFill="1" applyAlignment="1">
      <alignment horizontal="center" vertical="center"/>
    </xf>
    <xf numFmtId="165" fontId="0" fillId="3" borderId="0" xfId="0" applyNumberFormat="1" applyFont="1" applyFill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/>
    </xf>
    <xf numFmtId="0" fontId="12" fillId="0" borderId="0" xfId="0" applyFont="1"/>
    <xf numFmtId="0" fontId="0" fillId="3" borderId="0" xfId="0" applyFill="1"/>
    <xf numFmtId="0" fontId="1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ont="1" applyFill="1" applyAlignment="1">
      <alignment horizontal="center"/>
    </xf>
    <xf numFmtId="165" fontId="0" fillId="10" borderId="0" xfId="0" applyNumberFormat="1" applyFont="1" applyFill="1" applyAlignment="1">
      <alignment horizontal="center"/>
    </xf>
    <xf numFmtId="164" fontId="0" fillId="10" borderId="0" xfId="0" applyNumberFormat="1" applyFont="1" applyFill="1" applyAlignment="1">
      <alignment horizontal="center"/>
    </xf>
    <xf numFmtId="0" fontId="0" fillId="10" borderId="0" xfId="0" applyFill="1"/>
    <xf numFmtId="0" fontId="0" fillId="0" borderId="0" xfId="0" applyFill="1" applyBorder="1"/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165" fontId="1" fillId="6" borderId="1" xfId="0" applyNumberFormat="1" applyFon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166" fontId="0" fillId="2" borderId="0" xfId="0" applyNumberFormat="1" applyFont="1" applyFill="1" applyBorder="1" applyAlignment="1">
      <alignment horizontal="center" vertical="center"/>
    </xf>
    <xf numFmtId="166" fontId="0" fillId="3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>
      <alignment horizontal="center"/>
    </xf>
    <xf numFmtId="2" fontId="0" fillId="2" borderId="0" xfId="0" applyNumberFormat="1" applyFont="1" applyFill="1" applyAlignment="1">
      <alignment horizontal="center"/>
    </xf>
    <xf numFmtId="2" fontId="0" fillId="3" borderId="0" xfId="0" applyNumberFormat="1" applyFont="1" applyFill="1" applyAlignment="1">
      <alignment horizontal="center"/>
    </xf>
    <xf numFmtId="0" fontId="0" fillId="0" borderId="5" xfId="0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0" fontId="0" fillId="6" borderId="0" xfId="0" applyFill="1"/>
    <xf numFmtId="0" fontId="2" fillId="6" borderId="0" xfId="0" applyFont="1" applyFill="1" applyAlignment="1">
      <alignment horizontal="right"/>
    </xf>
    <xf numFmtId="0" fontId="9" fillId="6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6" borderId="0" xfId="0" applyFont="1" applyFill="1"/>
    <xf numFmtId="0" fontId="1" fillId="6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8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1" fillId="8" borderId="9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7" fontId="1" fillId="3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/>
    </xf>
    <xf numFmtId="1" fontId="1" fillId="7" borderId="0" xfId="0" applyNumberFormat="1" applyFont="1" applyFill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/>
    </xf>
    <xf numFmtId="164" fontId="1" fillId="1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0" fillId="10" borderId="0" xfId="0" applyNumberForma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4" fontId="0" fillId="8" borderId="0" xfId="0" applyNumberFormat="1" applyFont="1" applyFill="1" applyAlignment="1">
      <alignment horizontal="center"/>
    </xf>
    <xf numFmtId="1" fontId="0" fillId="2" borderId="0" xfId="0" applyNumberFormat="1" applyFont="1" applyFill="1" applyBorder="1" applyAlignment="1">
      <alignment horizontal="center"/>
    </xf>
    <xf numFmtId="165" fontId="1" fillId="8" borderId="0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1" fontId="0" fillId="10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11" fontId="0" fillId="3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1" fontId="0" fillId="2" borderId="0" xfId="0" applyNumberFormat="1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0" fillId="2" borderId="0" xfId="0" applyNumberFormat="1" applyFont="1" applyFill="1" applyAlignment="1">
      <alignment horizontal="center" vertical="center"/>
    </xf>
    <xf numFmtId="164" fontId="0" fillId="3" borderId="0" xfId="0" applyNumberFormat="1" applyFont="1" applyFill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9" borderId="0" xfId="0" applyNumberFormat="1" applyFont="1" applyFill="1" applyBorder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87377714149459"/>
          <c:y val="8.0546805478974248E-2"/>
          <c:w val="0.73493850458775312"/>
          <c:h val="0.69408407100643399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ULS!$C$49:$C$60</c:f>
              <c:numCache>
                <c:formatCode>0.000</c:formatCode>
                <c:ptCount val="12"/>
                <c:pt idx="0" formatCode="General">
                  <c:v>0</c:v>
                </c:pt>
                <c:pt idx="1">
                  <c:v>-0.37302570865378903</c:v>
                </c:pt>
                <c:pt idx="2">
                  <c:v>-0.23559518441291941</c:v>
                </c:pt>
                <c:pt idx="3">
                  <c:v>-3.8422134758250219E-3</c:v>
                </c:pt>
                <c:pt idx="4">
                  <c:v>-1.600922281593759E-3</c:v>
                </c:pt>
                <c:pt idx="5">
                  <c:v>-6.801918543921483E-6</c:v>
                </c:pt>
                <c:pt idx="6">
                  <c:v>6.801918543921483E-6</c:v>
                </c:pt>
                <c:pt idx="7">
                  <c:v>1.600922281593759E-3</c:v>
                </c:pt>
                <c:pt idx="8">
                  <c:v>3.8422134758250219E-3</c:v>
                </c:pt>
                <c:pt idx="9">
                  <c:v>0.23559518441291941</c:v>
                </c:pt>
                <c:pt idx="10">
                  <c:v>0.37302570865378903</c:v>
                </c:pt>
                <c:pt idx="11" formatCode="General">
                  <c:v>0</c:v>
                </c:pt>
              </c:numCache>
            </c:numRef>
          </c:xVal>
          <c:yVal>
            <c:numRef>
              <c:f>ULS!$B$49:$B$60</c:f>
              <c:numCache>
                <c:formatCode>0</c:formatCode>
                <c:ptCount val="12"/>
                <c:pt idx="0" formatCode="General">
                  <c:v>190</c:v>
                </c:pt>
                <c:pt idx="1">
                  <c:v>190</c:v>
                </c:pt>
                <c:pt idx="2">
                  <c:v>155</c:v>
                </c:pt>
                <c:pt idx="3">
                  <c:v>155</c:v>
                </c:pt>
                <c:pt idx="4">
                  <c:v>120</c:v>
                </c:pt>
                <c:pt idx="5">
                  <c:v>120</c:v>
                </c:pt>
                <c:pt idx="6">
                  <c:v>70</c:v>
                </c:pt>
                <c:pt idx="7">
                  <c:v>70</c:v>
                </c:pt>
                <c:pt idx="8">
                  <c:v>35</c:v>
                </c:pt>
                <c:pt idx="9">
                  <c:v>35</c:v>
                </c:pt>
                <c:pt idx="10">
                  <c:v>0</c:v>
                </c:pt>
                <c:pt idx="11" formatCode="General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968368"/>
        <c:axId val="264968928"/>
      </c:scatterChart>
      <c:valAx>
        <c:axId val="26496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PT">
                    <a:latin typeface="Calibri"/>
                    <a:cs typeface="Calibri"/>
                  </a:rPr>
                  <a:t>σ (N/mm2)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4968928"/>
        <c:crosses val="autoZero"/>
        <c:crossBetween val="midCat"/>
      </c:valAx>
      <c:valAx>
        <c:axId val="264968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altura desde a base (mm)</a:t>
                </a:r>
              </a:p>
            </c:rich>
          </c:tx>
          <c:layout>
            <c:manualLayout>
              <c:xMode val="edge"/>
              <c:yMode val="edge"/>
              <c:x val="4.1322326903814412E-2"/>
              <c:y val="0.1414929813935212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crossAx val="264968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974815484879"/>
          <c:y val="5.336979362588043E-2"/>
          <c:w val="0.79280314960629916"/>
          <c:h val="0.73444808982210552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ULS!$B$64:$B$78</c:f>
              <c:numCache>
                <c:formatCode>0.000</c:formatCode>
                <c:ptCount val="15"/>
                <c:pt idx="0">
                  <c:v>0</c:v>
                </c:pt>
                <c:pt idx="1">
                  <c:v>7.9022551438500035E-3</c:v>
                </c:pt>
                <c:pt idx="2">
                  <c:v>1.4201154171556528E-2</c:v>
                </c:pt>
                <c:pt idx="3">
                  <c:v>1.4201154171556528E-2</c:v>
                </c:pt>
                <c:pt idx="4">
                  <c:v>1.4277731620692763E-2</c:v>
                </c:pt>
                <c:pt idx="5">
                  <c:v>1.4328160672562968E-2</c:v>
                </c:pt>
                <c:pt idx="6">
                  <c:v>1.4328160672562968E-2</c:v>
                </c:pt>
                <c:pt idx="7" formatCode="0.0000">
                  <c:v>1.4328274037872034E-2</c:v>
                </c:pt>
                <c:pt idx="8">
                  <c:v>1.4328160672562968E-2</c:v>
                </c:pt>
                <c:pt idx="9" formatCode="0.0000">
                  <c:v>1.4328160672562968E-2</c:v>
                </c:pt>
                <c:pt idx="10">
                  <c:v>1.4277731620692763E-2</c:v>
                </c:pt>
                <c:pt idx="11">
                  <c:v>1.4201154171556528E-2</c:v>
                </c:pt>
                <c:pt idx="12" formatCode="0.0000">
                  <c:v>1.4201154171556528E-2</c:v>
                </c:pt>
                <c:pt idx="13">
                  <c:v>7.9022551438500035E-3</c:v>
                </c:pt>
                <c:pt idx="14">
                  <c:v>0</c:v>
                </c:pt>
              </c:numCache>
            </c:numRef>
          </c:xVal>
          <c:yVal>
            <c:numRef>
              <c:f>ULS!$P$64:$P$78</c:f>
              <c:numCache>
                <c:formatCode>0.0</c:formatCode>
                <c:ptCount val="15"/>
                <c:pt idx="0">
                  <c:v>190</c:v>
                </c:pt>
                <c:pt idx="1">
                  <c:v>172.5</c:v>
                </c:pt>
                <c:pt idx="2">
                  <c:v>155</c:v>
                </c:pt>
                <c:pt idx="3">
                  <c:v>155</c:v>
                </c:pt>
                <c:pt idx="4">
                  <c:v>137.5</c:v>
                </c:pt>
                <c:pt idx="5">
                  <c:v>120</c:v>
                </c:pt>
                <c:pt idx="6">
                  <c:v>120</c:v>
                </c:pt>
                <c:pt idx="7">
                  <c:v>95</c:v>
                </c:pt>
                <c:pt idx="8">
                  <c:v>70</c:v>
                </c:pt>
                <c:pt idx="9">
                  <c:v>70</c:v>
                </c:pt>
                <c:pt idx="10">
                  <c:v>52.5</c:v>
                </c:pt>
                <c:pt idx="11">
                  <c:v>35</c:v>
                </c:pt>
                <c:pt idx="12">
                  <c:v>35</c:v>
                </c:pt>
                <c:pt idx="13">
                  <c:v>17.5</c:v>
                </c:pt>
                <c:pt idx="1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971168"/>
        <c:axId val="264971728"/>
      </c:scatterChart>
      <c:valAx>
        <c:axId val="26497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>
                    <a:latin typeface="Cambria Math"/>
                    <a:ea typeface="Cambria Math"/>
                  </a:rPr>
                  <a:t>τ</a:t>
                </a:r>
                <a:r>
                  <a:rPr lang="pt-PT">
                    <a:latin typeface="Cambria Math"/>
                    <a:ea typeface="Cambria Math"/>
                  </a:rPr>
                  <a:t> (N/mm2)</a:t>
                </a:r>
                <a:endParaRPr lang="pt-PT"/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crossAx val="264971728"/>
        <c:crosses val="autoZero"/>
        <c:crossBetween val="midCat"/>
      </c:valAx>
      <c:valAx>
        <c:axId val="264971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altura</a:t>
                </a:r>
                <a:r>
                  <a:rPr lang="pt-PT" baseline="0"/>
                  <a:t> desde a base mm)</a:t>
                </a:r>
                <a:endParaRPr lang="pt-P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264971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171451</xdr:colOff>
      <xdr:row>46</xdr:row>
      <xdr:rowOff>171450</xdr:rowOff>
    </xdr:from>
    <xdr:to>
      <xdr:col>15</xdr:col>
      <xdr:colOff>371475</xdr:colOff>
      <xdr:row>60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62</xdr:row>
      <xdr:rowOff>38100</xdr:rowOff>
    </xdr:from>
    <xdr:to>
      <xdr:col>14</xdr:col>
      <xdr:colOff>550545</xdr:colOff>
      <xdr:row>80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137"/>
  <sheetViews>
    <sheetView tabSelected="1" zoomScale="85" zoomScaleNormal="85" workbookViewId="0">
      <selection activeCell="F4" sqref="F4:F11"/>
    </sheetView>
  </sheetViews>
  <sheetFormatPr defaultRowHeight="14.4" x14ac:dyDescent="0.3"/>
  <cols>
    <col min="1" max="1" width="17.33203125" style="48" customWidth="1"/>
    <col min="2" max="2" width="18.44140625" style="48" customWidth="1"/>
    <col min="3" max="3" width="18.33203125" style="48" customWidth="1"/>
    <col min="4" max="4" width="19.33203125" style="48" customWidth="1"/>
    <col min="5" max="5" width="16.5546875" style="48" customWidth="1"/>
    <col min="6" max="6" width="13.109375" style="48" customWidth="1"/>
    <col min="7" max="9" width="10.44140625" style="48" customWidth="1"/>
    <col min="10" max="12" width="10.6640625" style="48" customWidth="1"/>
    <col min="13" max="13" width="16.109375" style="48" customWidth="1"/>
    <col min="14" max="14" width="14" style="48" customWidth="1"/>
    <col min="15" max="15" width="10.5546875" style="48" customWidth="1"/>
    <col min="16" max="16" width="10" style="48" customWidth="1"/>
    <col min="17" max="17" width="9.5546875" style="48" customWidth="1"/>
    <col min="18" max="18" width="12" style="48" bestFit="1" customWidth="1"/>
    <col min="19" max="21" width="8.88671875" style="48"/>
    <col min="22" max="22" width="9.5546875" style="48" bestFit="1" customWidth="1"/>
    <col min="23" max="16384" width="8.88671875" style="48"/>
  </cols>
  <sheetData>
    <row r="2" spans="1:68" s="102" customFormat="1" x14ac:dyDescent="0.3">
      <c r="A2" s="133" t="s">
        <v>3</v>
      </c>
      <c r="B2" s="133"/>
      <c r="C2" s="133"/>
    </row>
    <row r="3" spans="1:68" ht="17.25" customHeight="1" x14ac:dyDescent="0.3">
      <c r="E3" s="159" t="s">
        <v>36</v>
      </c>
      <c r="K3" s="134" t="s">
        <v>53</v>
      </c>
      <c r="L3" s="134" t="s">
        <v>54</v>
      </c>
      <c r="M3" s="134" t="s">
        <v>64</v>
      </c>
      <c r="N3" s="134" t="s">
        <v>65</v>
      </c>
      <c r="O3" s="134" t="s">
        <v>41</v>
      </c>
      <c r="P3" s="134" t="s">
        <v>42</v>
      </c>
      <c r="Q3" s="134" t="s">
        <v>56</v>
      </c>
      <c r="R3" s="134" t="s">
        <v>57</v>
      </c>
      <c r="S3" s="134" t="s">
        <v>64</v>
      </c>
      <c r="T3" s="134" t="s">
        <v>65</v>
      </c>
      <c r="W3" s="134" t="s">
        <v>108</v>
      </c>
      <c r="X3" s="134" t="s">
        <v>112</v>
      </c>
    </row>
    <row r="4" spans="1:68" ht="17.25" customHeight="1" x14ac:dyDescent="0.3">
      <c r="E4" s="159"/>
      <c r="F4" s="125"/>
      <c r="K4" s="134"/>
      <c r="L4" s="134"/>
      <c r="M4" s="134"/>
      <c r="N4" s="134"/>
      <c r="O4" s="134"/>
      <c r="P4" s="134"/>
      <c r="Q4" s="134"/>
      <c r="R4" s="134"/>
      <c r="S4" s="134"/>
      <c r="T4" s="134"/>
      <c r="W4" s="134"/>
      <c r="X4" s="134"/>
    </row>
    <row r="5" spans="1:68" ht="16.8" thickBot="1" x14ac:dyDescent="0.35">
      <c r="A5" s="50"/>
      <c r="B5" s="50" t="s">
        <v>1</v>
      </c>
      <c r="C5" s="50" t="s">
        <v>0</v>
      </c>
      <c r="D5" s="50" t="s">
        <v>33</v>
      </c>
      <c r="E5" s="50" t="s">
        <v>34</v>
      </c>
      <c r="F5" s="125"/>
      <c r="G5" s="50" t="s">
        <v>51</v>
      </c>
      <c r="H5" s="105" t="s">
        <v>58</v>
      </c>
      <c r="J5" s="50" t="s">
        <v>52</v>
      </c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27" t="s">
        <v>74</v>
      </c>
      <c r="V5" s="49" t="s">
        <v>75</v>
      </c>
      <c r="W5" s="134"/>
      <c r="X5" s="134"/>
    </row>
    <row r="6" spans="1:68" ht="15" thickBot="1" x14ac:dyDescent="0.35">
      <c r="A6" s="11" t="s">
        <v>5</v>
      </c>
      <c r="B6" s="87">
        <v>35</v>
      </c>
      <c r="C6" s="1">
        <v>1000</v>
      </c>
      <c r="D6" s="36">
        <f>C6*B6</f>
        <v>35000</v>
      </c>
      <c r="E6" s="36">
        <f>C6*B6*(B6/2)</f>
        <v>612500</v>
      </c>
      <c r="F6" s="125"/>
      <c r="G6" s="160">
        <f>MAX(E32:E34)</f>
        <v>0.9</v>
      </c>
      <c r="H6" s="162">
        <v>1.3</v>
      </c>
      <c r="J6" s="36">
        <v>0.6</v>
      </c>
      <c r="K6" s="89">
        <f>11000</f>
        <v>11000</v>
      </c>
      <c r="L6" s="89">
        <f>690</f>
        <v>690</v>
      </c>
      <c r="M6" s="13">
        <f>K6/(1+J6)</f>
        <v>6875</v>
      </c>
      <c r="N6" s="13">
        <f>L6/(1+J6)</f>
        <v>431.25</v>
      </c>
      <c r="O6" s="90">
        <v>24</v>
      </c>
      <c r="P6" s="70" t="s">
        <v>60</v>
      </c>
      <c r="Q6" s="70">
        <f>O6*G6/H6</f>
        <v>16.615384615384617</v>
      </c>
      <c r="R6" s="70"/>
      <c r="S6" s="13">
        <f>K6/(1+D32*J6)</f>
        <v>6875</v>
      </c>
      <c r="T6" s="13">
        <f>L6/(1+D32*J6)</f>
        <v>431.25</v>
      </c>
      <c r="U6" s="96">
        <v>0.18</v>
      </c>
      <c r="V6" s="70">
        <f>hci/1000/U6</f>
        <v>0.19444444444444448</v>
      </c>
      <c r="W6" s="90">
        <v>21</v>
      </c>
      <c r="X6" s="13">
        <f>W6*G6/H6</f>
        <v>14.53846153846154</v>
      </c>
    </row>
    <row r="7" spans="1:68" s="79" customFormat="1" ht="15" thickBot="1" x14ac:dyDescent="0.35">
      <c r="A7" s="12" t="s">
        <v>6</v>
      </c>
      <c r="B7" s="87">
        <f>hci</f>
        <v>35</v>
      </c>
      <c r="C7" s="25">
        <v>1000</v>
      </c>
      <c r="D7" s="35">
        <f>C7*B7</f>
        <v>35000</v>
      </c>
      <c r="E7" s="35">
        <f>C7*B7*(B6+B7/2)</f>
        <v>1837500</v>
      </c>
      <c r="F7" s="125"/>
      <c r="G7" s="161"/>
      <c r="H7" s="162"/>
      <c r="I7" s="48"/>
      <c r="J7" s="35">
        <v>2.2999999999999998</v>
      </c>
      <c r="K7" s="89">
        <v>370</v>
      </c>
      <c r="L7" s="89">
        <v>69</v>
      </c>
      <c r="M7" s="14">
        <f t="shared" ref="M7:M10" si="0">K7/(1+J7)</f>
        <v>112.12121212121212</v>
      </c>
      <c r="N7" s="14">
        <f t="shared" ref="N7:N10" si="1">L7/(1+J7)</f>
        <v>20.90909090909091</v>
      </c>
      <c r="O7" s="35" t="s">
        <v>60</v>
      </c>
      <c r="P7" s="101">
        <v>1.1000000000000001</v>
      </c>
      <c r="Q7" s="71"/>
      <c r="R7" s="71">
        <f>P7*G6/H6</f>
        <v>0.76153846153846161</v>
      </c>
      <c r="S7" s="14">
        <f>K7/(1+D32*J7)</f>
        <v>112.12121212121212</v>
      </c>
      <c r="T7" s="14">
        <f>L7/(1+D32*J7)</f>
        <v>20.90909090909091</v>
      </c>
      <c r="U7" s="97">
        <v>0.18</v>
      </c>
      <c r="V7" s="71">
        <f>hqu/1000/U7</f>
        <v>0.19444444444444448</v>
      </c>
      <c r="W7" s="14" t="s">
        <v>60</v>
      </c>
      <c r="X7" s="71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</row>
    <row r="8" spans="1:68" s="85" customFormat="1" ht="15" thickBot="1" x14ac:dyDescent="0.35">
      <c r="A8" s="80" t="s">
        <v>7</v>
      </c>
      <c r="B8" s="87">
        <v>50</v>
      </c>
      <c r="C8" s="81">
        <v>1000</v>
      </c>
      <c r="D8" s="82">
        <f>C8*B8</f>
        <v>50000</v>
      </c>
      <c r="E8" s="82">
        <f>C8*B8*(B6+B7+B8/2)</f>
        <v>4750000</v>
      </c>
      <c r="F8" s="125"/>
      <c r="G8" s="161"/>
      <c r="H8" s="162"/>
      <c r="I8" s="48"/>
      <c r="J8" s="82">
        <v>7</v>
      </c>
      <c r="K8" s="83">
        <v>3.8109999999999999</v>
      </c>
      <c r="L8" s="83">
        <v>3.012</v>
      </c>
      <c r="M8" s="83">
        <f t="shared" si="0"/>
        <v>0.47637499999999999</v>
      </c>
      <c r="N8" s="83">
        <f t="shared" si="1"/>
        <v>0.3765</v>
      </c>
      <c r="O8" s="82" t="s">
        <v>60</v>
      </c>
      <c r="P8" s="84">
        <v>0.106</v>
      </c>
      <c r="Q8" s="82"/>
      <c r="R8" s="84">
        <f>P8*G6/H6</f>
        <v>7.3384615384615381E-2</v>
      </c>
      <c r="S8" s="83">
        <f>K8/(1+D32*J8)</f>
        <v>0.47637499999999999</v>
      </c>
      <c r="T8" s="83">
        <f>L8/(1+D32*J8)</f>
        <v>0.3765</v>
      </c>
      <c r="U8" s="84">
        <v>2.3E-2</v>
      </c>
      <c r="V8" s="84">
        <f>htr/1000/U8</f>
        <v>2.1739130434782612</v>
      </c>
      <c r="W8" s="83" t="s">
        <v>60</v>
      </c>
      <c r="X8" s="82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</row>
    <row r="9" spans="1:68" s="79" customFormat="1" x14ac:dyDescent="0.3">
      <c r="A9" s="12" t="s">
        <v>8</v>
      </c>
      <c r="B9" s="61">
        <f>hqu</f>
        <v>35</v>
      </c>
      <c r="C9" s="25">
        <v>1000</v>
      </c>
      <c r="D9" s="35">
        <f>C9*B9</f>
        <v>35000</v>
      </c>
      <c r="E9" s="35">
        <f>C9*B9*(B6+B7+B8+B9/2)</f>
        <v>4812500</v>
      </c>
      <c r="F9" s="125"/>
      <c r="G9" s="161"/>
      <c r="H9" s="162"/>
      <c r="I9" s="48"/>
      <c r="J9" s="35">
        <f>J7</f>
        <v>2.2999999999999998</v>
      </c>
      <c r="K9" s="14">
        <f>K7</f>
        <v>370</v>
      </c>
      <c r="L9" s="14">
        <f>L7</f>
        <v>69</v>
      </c>
      <c r="M9" s="14">
        <f t="shared" si="0"/>
        <v>112.12121212121212</v>
      </c>
      <c r="N9" s="14">
        <f t="shared" si="1"/>
        <v>20.90909090909091</v>
      </c>
      <c r="O9" s="35" t="s">
        <v>60</v>
      </c>
      <c r="P9" s="71">
        <f>P7</f>
        <v>1.1000000000000001</v>
      </c>
      <c r="Q9" s="35"/>
      <c r="R9" s="71">
        <f>P9*G6/H6</f>
        <v>0.76153846153846161</v>
      </c>
      <c r="S9" s="14">
        <f>K9/(1+D32*J9)</f>
        <v>112.12121212121212</v>
      </c>
      <c r="T9" s="14">
        <f>L9/(1+D32*J9)</f>
        <v>20.90909090909091</v>
      </c>
      <c r="U9" s="97">
        <f>U7</f>
        <v>0.18</v>
      </c>
      <c r="V9" s="71">
        <f>hdo/1000/U9</f>
        <v>0.19444444444444448</v>
      </c>
      <c r="W9" s="14" t="s">
        <v>60</v>
      </c>
      <c r="X9" s="35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</row>
    <row r="10" spans="1:68" x14ac:dyDescent="0.3">
      <c r="A10" s="11" t="s">
        <v>9</v>
      </c>
      <c r="B10" s="60">
        <f>hci</f>
        <v>35</v>
      </c>
      <c r="C10" s="1">
        <v>1000</v>
      </c>
      <c r="D10" s="36">
        <f>C10*B10</f>
        <v>35000</v>
      </c>
      <c r="E10" s="1">
        <f>C10*B10*(B6+B7+B8+B9+B10/2)</f>
        <v>6037500</v>
      </c>
      <c r="F10" s="125"/>
      <c r="G10" s="161"/>
      <c r="H10" s="162"/>
      <c r="J10" s="36">
        <f>J6</f>
        <v>0.6</v>
      </c>
      <c r="K10" s="13">
        <f>K6</f>
        <v>11000</v>
      </c>
      <c r="L10" s="13">
        <f>L6</f>
        <v>690</v>
      </c>
      <c r="M10" s="13">
        <f t="shared" si="0"/>
        <v>6875</v>
      </c>
      <c r="N10" s="13">
        <f t="shared" si="1"/>
        <v>431.25</v>
      </c>
      <c r="O10" s="70">
        <f>O6</f>
        <v>24</v>
      </c>
      <c r="P10" s="70" t="str">
        <f>P6</f>
        <v>-</v>
      </c>
      <c r="Q10" s="70">
        <f>Q6</f>
        <v>16.615384615384617</v>
      </c>
      <c r="R10" s="70"/>
      <c r="S10" s="13">
        <f>K10/(1+D32*J10)</f>
        <v>6875</v>
      </c>
      <c r="T10" s="13">
        <f>L10/(1+D32*J10)</f>
        <v>431.25</v>
      </c>
      <c r="U10" s="96">
        <f>U6</f>
        <v>0.18</v>
      </c>
      <c r="V10" s="70">
        <f>hum/1000/U10</f>
        <v>0.19444444444444448</v>
      </c>
      <c r="W10" s="13">
        <f>W6</f>
        <v>21</v>
      </c>
      <c r="X10" s="13">
        <f>X6</f>
        <v>14.53846153846154</v>
      </c>
    </row>
    <row r="11" spans="1:68" ht="15" thickBot="1" x14ac:dyDescent="0.35">
      <c r="F11" s="129"/>
      <c r="P11" s="52"/>
      <c r="Q11" s="52"/>
    </row>
    <row r="12" spans="1:68" ht="15" customHeight="1" thickBot="1" x14ac:dyDescent="0.35">
      <c r="B12" s="42" t="s">
        <v>87</v>
      </c>
      <c r="C12" s="89">
        <v>3000</v>
      </c>
      <c r="D12" s="48" t="s">
        <v>11</v>
      </c>
      <c r="E12" s="5"/>
      <c r="P12" s="52"/>
      <c r="Q12" s="52"/>
    </row>
    <row r="13" spans="1:68" x14ac:dyDescent="0.3">
      <c r="B13" s="42" t="s">
        <v>35</v>
      </c>
      <c r="C13" s="109">
        <f>SUM(B6:B10)</f>
        <v>190</v>
      </c>
      <c r="D13" s="48" t="s">
        <v>11</v>
      </c>
      <c r="G13" s="52"/>
    </row>
    <row r="14" spans="1:68" x14ac:dyDescent="0.3">
      <c r="B14" s="42" t="s">
        <v>20</v>
      </c>
      <c r="C14" s="6">
        <f>C6</f>
        <v>1000</v>
      </c>
      <c r="D14" s="48" t="s">
        <v>11</v>
      </c>
      <c r="G14" s="52"/>
    </row>
    <row r="15" spans="1:68" x14ac:dyDescent="0.3">
      <c r="A15" s="41"/>
      <c r="B15" s="42" t="s">
        <v>40</v>
      </c>
      <c r="C15" s="19">
        <f>(M6*E6+M7*E7+M8*E8+M9*E9+M10*E10)/(M6*B6*C6+M7*B7*C7+M8*B8*C8+M9*B9*C9+M10*B10*C10)</f>
        <v>95</v>
      </c>
      <c r="D15" s="48" t="s">
        <v>11</v>
      </c>
    </row>
    <row r="16" spans="1:68" x14ac:dyDescent="0.3">
      <c r="A16" s="26"/>
      <c r="B16" s="42"/>
      <c r="C16" s="42"/>
    </row>
    <row r="17" spans="1:20" s="102" customFormat="1" x14ac:dyDescent="0.3">
      <c r="A17" s="133" t="s">
        <v>4</v>
      </c>
      <c r="B17" s="133"/>
      <c r="C17" s="133"/>
      <c r="D17" s="103"/>
    </row>
    <row r="18" spans="1:20" x14ac:dyDescent="0.3">
      <c r="A18" s="21"/>
      <c r="B18" s="21" t="s">
        <v>13</v>
      </c>
      <c r="C18" s="21" t="s">
        <v>10</v>
      </c>
      <c r="D18" s="21" t="s">
        <v>15</v>
      </c>
    </row>
    <row r="19" spans="1:20" x14ac:dyDescent="0.3">
      <c r="A19" s="21"/>
      <c r="B19" s="21" t="s">
        <v>14</v>
      </c>
      <c r="C19" s="49" t="s">
        <v>26</v>
      </c>
      <c r="D19" s="21" t="s">
        <v>16</v>
      </c>
    </row>
    <row r="20" spans="1:20" ht="16.2" x14ac:dyDescent="0.3">
      <c r="A20" s="49"/>
      <c r="B20" s="50" t="s">
        <v>12</v>
      </c>
      <c r="C20" s="50" t="s">
        <v>31</v>
      </c>
      <c r="D20" s="22" t="s">
        <v>32</v>
      </c>
      <c r="E20" s="22" t="s">
        <v>32</v>
      </c>
      <c r="G20" s="44"/>
      <c r="H20" s="44"/>
      <c r="I20" s="44"/>
      <c r="N20" s="44"/>
    </row>
    <row r="21" spans="1:20" x14ac:dyDescent="0.3">
      <c r="A21" s="11" t="s">
        <v>5</v>
      </c>
      <c r="B21" s="13">
        <f>ABS(C15-B6/2)</f>
        <v>77.5</v>
      </c>
      <c r="C21" s="2">
        <f>C6*B6^3/12+D6*B21^2</f>
        <v>213791666.66666666</v>
      </c>
      <c r="D21" s="37">
        <f>C21*M6</f>
        <v>1469817708333.3333</v>
      </c>
    </row>
    <row r="22" spans="1:20" x14ac:dyDescent="0.3">
      <c r="A22" s="12" t="s">
        <v>6</v>
      </c>
      <c r="B22" s="14">
        <f>ABS(C15-B6-B7/2)</f>
        <v>42.5</v>
      </c>
      <c r="C22" s="23">
        <f>C7*B7^3/12+D7*B22^2</f>
        <v>66791666.666666664</v>
      </c>
      <c r="D22" s="38">
        <f>C22*M7</f>
        <v>7488762626.2626266</v>
      </c>
      <c r="G22" s="44"/>
      <c r="H22" s="44"/>
      <c r="I22" s="44"/>
    </row>
    <row r="23" spans="1:20" x14ac:dyDescent="0.3">
      <c r="A23" s="64" t="s">
        <v>7</v>
      </c>
      <c r="B23" s="57">
        <f>ABS(C15-B6-B7-B8/2)</f>
        <v>0</v>
      </c>
      <c r="C23" s="58">
        <f>C8*B8^3/12+D8*B23^2</f>
        <v>10416666.666666666</v>
      </c>
      <c r="D23" s="59">
        <f>C23*M8</f>
        <v>4962239.583333333</v>
      </c>
      <c r="P23" s="26"/>
    </row>
    <row r="24" spans="1:20" x14ac:dyDescent="0.3">
      <c r="A24" s="12" t="s">
        <v>8</v>
      </c>
      <c r="B24" s="14">
        <f>ABS(C15-B6-B7-B8-B9/2)</f>
        <v>42.5</v>
      </c>
      <c r="C24" s="23">
        <f>C9*B9^3/12+D9*B24^2</f>
        <v>66791666.666666664</v>
      </c>
      <c r="D24" s="38">
        <f>C24*M9</f>
        <v>7488762626.2626266</v>
      </c>
      <c r="F24" s="42"/>
      <c r="J24" s="49"/>
      <c r="K24" s="49"/>
      <c r="L24" s="49"/>
      <c r="P24" s="42"/>
      <c r="S24" s="45"/>
    </row>
    <row r="25" spans="1:20" x14ac:dyDescent="0.3">
      <c r="A25" s="11" t="s">
        <v>9</v>
      </c>
      <c r="B25" s="13">
        <f>ABS(C15-B6-B7-B8-B9-B10/2)</f>
        <v>77.5</v>
      </c>
      <c r="C25" s="2">
        <f>C10*B10^3/12+D10*B25^2</f>
        <v>213791666.66666666</v>
      </c>
      <c r="D25" s="37">
        <f>C25*M10</f>
        <v>1469817708333.3333</v>
      </c>
      <c r="E25" s="49"/>
      <c r="F25" s="55"/>
      <c r="J25" s="42"/>
      <c r="K25" s="42"/>
      <c r="L25" s="42"/>
      <c r="P25" s="42"/>
      <c r="S25" s="45"/>
    </row>
    <row r="26" spans="1:20" s="16" customFormat="1" ht="15.6" x14ac:dyDescent="0.35">
      <c r="A26" s="17"/>
      <c r="B26" s="43"/>
      <c r="D26" s="117">
        <f>SUM(D21:D25)</f>
        <v>2954617904158.7754</v>
      </c>
      <c r="E26" s="39" t="s">
        <v>39</v>
      </c>
      <c r="F26" s="116">
        <f>60*gci*gdo*gqu*gtr*gum*kclt^2/(b*(8*h^5*etr^2*gci*gdo*gqu*gum-40*h^4*(n*etr-edo*hdo+etr*(hdo+hum)-eum*hum)*etr*gci*gdo*gqu*gum+20*h^3*(4*n^2*etr^2-8*n*(edo*hdo-etr*(hdo+hum)+eum*hum)*etr+3*edo^2*hdo^2-edo*(etr*(7*hdo+8*hum)-6*eum*hum)*hdo+4*etr^2*(hdo^2+2*hdo*hum+hum^2)-etr*eum*(6*hdo+7*hum)*hum+3*eum^2*hum^2)*gci*gdo*gqu*gum-20*h^2*(4*n^3*etr^2*gdo*gum-12*n^2*(edo*hdo-etr*(hdo+hum)+eum*hum)*etr*gdo*gum+3*n*(3*edo^2*hdo^2-edo*(etr*(7*hdo+8*hum)-6*eum*hum)*hdo+4*etr^2*(hdo^2+2*hdo*hum+hum^2)-etr*eum*(6*hdo+7*hum)*hum+3*eum^2*hum^2)*gdo*gum+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*gci*gqu+5*h*(8*n^4*etr^2*gdo*gum-32*n^3*(edo*hdo-etr*(hdo+hum)+eum*hum)*etr*gdo*gum+12*n^2*(3*edo^2*hdo^2-edo*(etr*(7*hdo+8*hum)-6*eum*hum)*hdo+4*etr^2*(hdo^2+2*hdo*hum+hum^2)-etr*eum*(6*hdo+7*hum)*hum+3*eum^2*hum^2)*gdo*gum+8*n*(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+edo^2*(3*gdo*(hdo+2*hum)*(5*hdo+6*hum)-gtr*hdo*(3*hdo+8*hum))*gum*hdo^2-2*edo*(2*etr*gdo*(5*hdo^3+18*hdo^2*hum+21*hdo*hum^2+8*hum^3)-eum*(3*gdo*(2*hdo^2+9*hdo*hum+8*hum^2)-gtr*hdo*(2*hdo+9*hum))*hum)*gum*hdo+8*etr^2*gdo*gum*(hdo^2+2*hdo*hum+hum^2)^2-4*etr*eum*gdo*gum*(2*hdo^3+9*hdo^2*hum+12*hdo*hum^2+5*hum^3)*hum-3*eum^2*(gdo*(gtr*hum-gum*(4*hdo+5*hum))+4*gtr*gum*hdo)*hum^3)*gci*gqu+40*n^4*(eci*hci+edo*hdo+equ*hqu-etr*(hci+hdo+hqu+hum)+eum*hum)*etr*gci*gdo*gqu*gum+20*n^3*(3*eci^2*hci^2+eci*(6*equ*hqu-etr*(7*hci+6*hqu))*hci-3*edo^2*hdo^2+edo*(etr*(7*hdo+8*hum)-6*eum*hum)*hdo+3*equ^2*hqu^2-equ*etr*(8*hci+7*hqu)*hqu+4*etr^2*(hci^2+2*hci*hqu-hdo^2-2*hdo*hum+hqu^2-hum^2)+etr*eum*(6*hdo+7*hum)*hum-3*eum^2*hum^2)*gci*gdo*gqu*gum-20*n^2*(eci^2*(3*gci*(gqu*(2*hci+hqu)-gtr*hqu)-gqu*gtr*hci)*gdo*gum*hci^2+3*eci*(equ*(gqu*(5*hci+3*hqu)-gtr*hqu)*hqu-etr*gqu*(3*hci^2+5*hci*hqu+2*hqu^2))*gci*gdo*gum*hci+(edo^2*(3*gdo*(2*hdo+3*hum)-gtr*hdo)*gqu*gum*hdo^2-3*edo*(etr*gdo*(3*hdo^2+7*hdo*hum+4*hum^2)-eum*(gdo*(3*hdo+5*hum)-gtr*hdo)*hum)*gqu*gum*hdo+equ^2*gdo*(3*gqu*(3*hci+2*hqu)-gtr*hqu)*gum*hqu^2-3*equ*etr*gdo*gqu*gum*(4*hci^2+7*hci*hqu+3*hqu^2)*hqu+(4*etr^2*gdo*gum*(hci^3+3*hci^2*hqu+3*hci*hqu^2+hdo^3+3*hdo^2*hum+3*hdo*hum^2+hqu^3+hum^3)-3*etr*eum*gdo*gum*(2*hdo^2+5*hdo*hum+3*hum^2)*hum-eum^2*(gdo*(gtr*hum-3*gum*(hdo+2*hum))+3*gtr*gum*hdo)*hum^2)*gqu)*gci)+5*n*(3*eci^2*(gci*(gqu*(5*hci+4*hqu)-4*gtr*hqu)-gqu*gtr*hci)*gdo*gum*hci^3+2*eci*(equ*(3*gqu*(8*hci^2+9*hci*hqu+2*hqu^2)-gtr*(9*hci+2*hqu)*hqu)*hqu-2*etr*gqu*(5*hci^3+12*hci^2*hqu+9*hci*hqu^2+2*hqu^3))*gci*gdo*gum*hci-(edo^2*(3*gdo*(hdo+2*hum)*(5*hdo+6*hum)-gtr*hdo*(3*hdo+8*hum))*gqu*gum*hdo^2-2*edo*(2*etr*gdo*(5*hdo^3+18*hdo^2*hum+21*hdo*hum^2+8*hum^3)-eum*(3*gdo*(2*hdo^2+9*hdo*hum+8*hum^2)-gtr*hdo*(2*hdo+9*hum))*hum)*gqu*gum*hdo-equ^2*gdo*(3*gqu*(2*hci+hqu)*(6*hci+5*hqu)-gtr*(8*hci+3*hqu)*hqu)*gum*hqu^2+4*equ*etr*gdo*gqu*gum*(8*hci^3+21*hci^2*hqu+18*hci*hqu^2+5*hqu^3)*hqu-(8*etr^2*gdo*gum*(hci^4+4*hci^3*hqu+6*hci^2*hqu^2+4*hci*hqu^3-hdo^4-4*hdo^3*hum-6*hdo^2*hum^2-4*hdo*hum^3+hqu^4-hum^4)+4*etr*eum*gdo*gum*(2*hdo^3+9*hdo^2*hum+12*hdo*hum^2+5*hum^3)*hum+3*eum^2*(gdo*(gtr*hum-gum*(4*hdo+5*hum))+4*gtr*gum*hdo)*hum^3)*gqu)*gci)-3*eci^2*(5*gci*(gqu*(hci+hqu)-gtr*hqu)-gqu*gtr*hci)*gdo*gum*hci^4-10*eci*(equ*(3*gqu*(hci+hqu)*(2*hci+hqu)-gtr*(3*hci+hqu)*hqu)*hqu-2*etr*gqu*(hci+hqu)*(hci^2+2*hci*hqu+hqu^2))*gci*gdo*gum*hci^2-(edo^2*(15*gdo*(hdo+hum)*(hdo+2*hum)^2-gtr*hdo*(3*hdo^2+15*hdo*hum+20*hum^2))*gqu*gum*hdo^2-10*edo*(2*etr*gdo*(hdo+hum)*(hdo+2*hum)*(hdo^2+2*hdo*hum+hum^2)-eum*(3*gdo*(hdo+hum)*(hdo+2*hum)-gtr*hdo*(hdo+3*hum))*hum^2)*gqu*gum*hdo+equ^2*gdo*(15*gqu*(hci+hqu)*(2*hci+hqu)^2-gtr*(20*hci^2+15*hci*hqu+3*hqu^2)*hqu)*gum*hqu^2-20*equ*etr*gdo*gqu*gum*(hci+hqu)*(2*hci+hqu)*(hci^2+2*hci*hqu+hqu^2)*hqu+(8*etr^2*gdo*gum*(hci^5+5*hci^4*hqu+10*hci^3*hqu^2+10*hci^2*hqu^3+5*hci*hqu^4+hdo^5+5*hdo^4*hum+10*hdo^3*hum^2+10*hdo^2*hum^3+5*hdo*hum^4+hqu^5+hum^5)-20*etr*eum*gdo*gum*(hdo+hum)*(hdo^2+2*hdo*hum+hum^2)*hum^2-3*eum^2*(gdo*(gtr*hum-5*gum*(hdo+hum))+5*gtr*gum*hdo)*hum^4)*gqu)*gci))</f>
        <v>181073.1669307595</v>
      </c>
      <c r="J26" s="15"/>
      <c r="K26" s="15"/>
      <c r="L26" s="15"/>
      <c r="N26" s="48"/>
      <c r="P26" s="42"/>
      <c r="R26" s="48"/>
      <c r="S26" s="45"/>
      <c r="T26" s="48"/>
    </row>
    <row r="27" spans="1:20" s="16" customFormat="1" ht="15.6" x14ac:dyDescent="0.35">
      <c r="A27" s="17"/>
      <c r="B27" s="15"/>
      <c r="D27" s="39" t="s">
        <v>50</v>
      </c>
      <c r="E27" s="48"/>
      <c r="F27" s="18"/>
      <c r="G27" s="10"/>
      <c r="H27" s="10"/>
      <c r="I27" s="10"/>
    </row>
    <row r="29" spans="1:20" s="102" customFormat="1" x14ac:dyDescent="0.3">
      <c r="A29" s="133" t="s">
        <v>43</v>
      </c>
      <c r="B29" s="133"/>
      <c r="C29" s="133"/>
    </row>
    <row r="30" spans="1:20" s="16" customFormat="1" x14ac:dyDescent="0.3">
      <c r="A30" s="17"/>
      <c r="B30" s="17"/>
      <c r="C30" s="17"/>
    </row>
    <row r="31" spans="1:20" ht="15" thickBot="1" x14ac:dyDescent="0.35">
      <c r="B31" s="50"/>
      <c r="C31" s="30" t="s">
        <v>84</v>
      </c>
      <c r="D31" s="30" t="s">
        <v>55</v>
      </c>
      <c r="E31" s="50" t="s">
        <v>51</v>
      </c>
    </row>
    <row r="32" spans="1:20" ht="16.2" thickBot="1" x14ac:dyDescent="0.4">
      <c r="A32" s="42" t="s">
        <v>90</v>
      </c>
      <c r="B32" s="90">
        <v>30</v>
      </c>
      <c r="D32" s="128">
        <v>1</v>
      </c>
      <c r="E32" s="90">
        <v>0.6</v>
      </c>
    </row>
    <row r="33" spans="1:14" ht="16.2" thickBot="1" x14ac:dyDescent="0.4">
      <c r="A33" s="42" t="s">
        <v>91</v>
      </c>
      <c r="B33" s="90">
        <v>20</v>
      </c>
      <c r="D33" s="130" t="s">
        <v>60</v>
      </c>
      <c r="E33" s="90">
        <v>0.7</v>
      </c>
    </row>
    <row r="34" spans="1:14" ht="16.8" thickBot="1" x14ac:dyDescent="0.35">
      <c r="A34" s="42" t="s">
        <v>89</v>
      </c>
      <c r="B34" s="90">
        <v>1</v>
      </c>
      <c r="C34" s="104">
        <v>0.6</v>
      </c>
      <c r="D34" s="118">
        <v>0</v>
      </c>
      <c r="E34" s="90">
        <v>0.9</v>
      </c>
    </row>
    <row r="35" spans="1:14" x14ac:dyDescent="0.3">
      <c r="A35" s="42" t="s">
        <v>115</v>
      </c>
      <c r="B35" s="127">
        <f>(1.35*(B32+650*0.00981*(D6+D7+D9+D10)*C12*10^-9+40*0.00981*(D8)*C12*10^-9)+1.5*B33)*1000</f>
        <v>74194.936500000011</v>
      </c>
      <c r="C35" s="51" t="s">
        <v>19</v>
      </c>
    </row>
    <row r="36" spans="1:14" x14ac:dyDescent="0.3">
      <c r="A36" s="42" t="s">
        <v>88</v>
      </c>
      <c r="B36" s="95">
        <f>1.5*B34</f>
        <v>1.5</v>
      </c>
      <c r="C36" s="51" t="s">
        <v>47</v>
      </c>
      <c r="D36" s="46"/>
    </row>
    <row r="37" spans="1:14" x14ac:dyDescent="0.3">
      <c r="A37" s="42" t="s">
        <v>116</v>
      </c>
      <c r="B37" s="2">
        <f>B36*C12^2/8</f>
        <v>1687500</v>
      </c>
      <c r="C37" s="48" t="s">
        <v>18</v>
      </c>
      <c r="D37" s="46"/>
    </row>
    <row r="38" spans="1:14" x14ac:dyDescent="0.3">
      <c r="A38" s="42" t="s">
        <v>117</v>
      </c>
      <c r="B38" s="2">
        <f>B36*C12/2</f>
        <v>2250</v>
      </c>
      <c r="C38" s="48" t="s">
        <v>19</v>
      </c>
      <c r="D38" s="46"/>
    </row>
    <row r="39" spans="1:14" x14ac:dyDescent="0.3">
      <c r="A39" s="42" t="s">
        <v>118</v>
      </c>
      <c r="B39" s="126">
        <f>B34</f>
        <v>1</v>
      </c>
      <c r="C39" s="51" t="s">
        <v>47</v>
      </c>
      <c r="D39" s="46"/>
    </row>
    <row r="40" spans="1:14" x14ac:dyDescent="0.3">
      <c r="A40" s="42" t="s">
        <v>119</v>
      </c>
      <c r="B40" s="126">
        <f>D34*B34</f>
        <v>0</v>
      </c>
      <c r="C40" s="51" t="s">
        <v>47</v>
      </c>
      <c r="G40" s="46"/>
      <c r="H40" s="46"/>
      <c r="I40" s="46"/>
      <c r="J40" s="51"/>
      <c r="K40" s="51"/>
      <c r="L40" s="51"/>
      <c r="N40" s="56"/>
    </row>
    <row r="41" spans="1:14" x14ac:dyDescent="0.3">
      <c r="A41" s="42"/>
      <c r="B41" s="42"/>
    </row>
    <row r="42" spans="1:14" s="102" customFormat="1" x14ac:dyDescent="0.3">
      <c r="A42" s="133" t="s">
        <v>99</v>
      </c>
      <c r="B42" s="133"/>
      <c r="C42" s="133"/>
    </row>
    <row r="43" spans="1:14" x14ac:dyDescent="0.3">
      <c r="A43" s="42"/>
      <c r="B43" s="42"/>
    </row>
    <row r="44" spans="1:14" ht="16.8" x14ac:dyDescent="0.35">
      <c r="A44" s="17" t="s">
        <v>93</v>
      </c>
      <c r="B44" s="120">
        <f>B35/(D6+D10)</f>
        <v>1.0599276642857145</v>
      </c>
    </row>
    <row r="45" spans="1:14" x14ac:dyDescent="0.3">
      <c r="A45" s="42"/>
      <c r="B45" s="42"/>
    </row>
    <row r="46" spans="1:14" s="102" customFormat="1" x14ac:dyDescent="0.3">
      <c r="A46" s="133" t="s">
        <v>98</v>
      </c>
      <c r="B46" s="133"/>
      <c r="C46" s="133"/>
    </row>
    <row r="48" spans="1:14" ht="16.8" x14ac:dyDescent="0.35">
      <c r="A48" s="44"/>
      <c r="B48" s="50" t="s">
        <v>30</v>
      </c>
      <c r="C48" s="50" t="s">
        <v>94</v>
      </c>
      <c r="D48" s="47" t="s">
        <v>96</v>
      </c>
      <c r="E48" s="27" t="s">
        <v>27</v>
      </c>
      <c r="F48" s="50" t="s">
        <v>28</v>
      </c>
    </row>
    <row r="49" spans="1:18" ht="15" thickBot="1" x14ac:dyDescent="0.35">
      <c r="B49" s="49">
        <f>B50</f>
        <v>190</v>
      </c>
      <c r="C49" s="43">
        <v>0</v>
      </c>
    </row>
    <row r="50" spans="1:18" x14ac:dyDescent="0.3">
      <c r="A50" s="139" t="s">
        <v>5</v>
      </c>
      <c r="B50" s="2">
        <f>B10+B9+B8+B7+B6</f>
        <v>190</v>
      </c>
      <c r="C50" s="113">
        <f>IF(0&lt;C15,-1,1)*B37/D26*(ABS(C15))*M6</f>
        <v>-0.37302570865378903</v>
      </c>
      <c r="D50" s="152">
        <f>Q6</f>
        <v>16.615384615384617</v>
      </c>
      <c r="E50" s="91">
        <f>ABS(C50)/D50</f>
        <v>2.2450621354163227E-2</v>
      </c>
      <c r="F50" s="157" t="str">
        <f>IF(ABS(C50)&gt;D50,"ROTURA!",IF(ABS(C51)&gt;D50,"ROTURA!","OK"))</f>
        <v>OK</v>
      </c>
    </row>
    <row r="51" spans="1:18" ht="15" thickBot="1" x14ac:dyDescent="0.35">
      <c r="A51" s="139"/>
      <c r="B51" s="2">
        <f>B52</f>
        <v>155</v>
      </c>
      <c r="C51" s="4">
        <f>IF(B6&lt;C15,-1,1)*B37/D26*(ABS(C15-B6))*M6</f>
        <v>-0.23559518441291941</v>
      </c>
      <c r="D51" s="152"/>
      <c r="E51" s="91">
        <f>ABS(C51)/D50</f>
        <v>1.4179339802629408E-2</v>
      </c>
      <c r="F51" s="158"/>
    </row>
    <row r="52" spans="1:18" x14ac:dyDescent="0.3">
      <c r="A52" s="139" t="s">
        <v>6</v>
      </c>
      <c r="B52" s="2">
        <f>B10+B9+B8+B7</f>
        <v>155</v>
      </c>
      <c r="C52" s="4">
        <f>IF(B6&lt;C15,-1,1)*B37/D26*(ABS(C15-B6))*M7</f>
        <v>-3.8422134758250219E-3</v>
      </c>
      <c r="D52" s="152">
        <f>Q7</f>
        <v>0</v>
      </c>
      <c r="E52" s="91" t="e">
        <f t="shared" ref="E52:E56" si="2">ABS(C52)/D52</f>
        <v>#DIV/0!</v>
      </c>
      <c r="F52" s="154"/>
    </row>
    <row r="53" spans="1:18" x14ac:dyDescent="0.3">
      <c r="A53" s="139"/>
      <c r="B53" s="2">
        <f>B54</f>
        <v>120</v>
      </c>
      <c r="C53" s="4">
        <f>IF(B6+B7&lt;C15,-1,1)*B37/D26*(ABS(B6+B7-C15))*M7</f>
        <v>-1.600922281593759E-3</v>
      </c>
      <c r="D53" s="152"/>
      <c r="E53" s="91" t="e">
        <f>ABS(C53)/D52</f>
        <v>#DIV/0!</v>
      </c>
      <c r="F53" s="154"/>
    </row>
    <row r="54" spans="1:18" x14ac:dyDescent="0.3">
      <c r="A54" s="137" t="s">
        <v>7</v>
      </c>
      <c r="B54" s="23">
        <f>B10+B9+B8</f>
        <v>120</v>
      </c>
      <c r="C54" s="9">
        <f>IF(B6+B7&lt;C15,-1,1)*B37/D26*(ABS(B6+B7-C15))*M8</f>
        <v>-6.801918543921483E-6</v>
      </c>
      <c r="D54" s="155">
        <f>Q8</f>
        <v>0</v>
      </c>
      <c r="E54" s="92" t="e">
        <f t="shared" si="2"/>
        <v>#DIV/0!</v>
      </c>
      <c r="F54" s="156"/>
    </row>
    <row r="55" spans="1:18" x14ac:dyDescent="0.3">
      <c r="A55" s="137"/>
      <c r="B55" s="23">
        <f>B56</f>
        <v>70</v>
      </c>
      <c r="C55" s="9">
        <f>IF(B6+B7+B8&lt;C15,-1,1)*B37/D26*(ABS(B6+B7-C15+B8))*M8</f>
        <v>6.801918543921483E-6</v>
      </c>
      <c r="D55" s="155"/>
      <c r="E55" s="92" t="e">
        <f>ABS(C55)/D54</f>
        <v>#DIV/0!</v>
      </c>
      <c r="F55" s="156"/>
    </row>
    <row r="56" spans="1:18" x14ac:dyDescent="0.3">
      <c r="A56" s="139" t="s">
        <v>8</v>
      </c>
      <c r="B56" s="2">
        <f>B10+B9</f>
        <v>70</v>
      </c>
      <c r="C56" s="4">
        <f>IF(B6+B7+B8&lt;C15,-1,1)*B37/D26*(ABS(B6+B7-C15+B8))*M9</f>
        <v>1.600922281593759E-3</v>
      </c>
      <c r="D56" s="152">
        <f>Q9</f>
        <v>0</v>
      </c>
      <c r="E56" s="91" t="e">
        <f t="shared" si="2"/>
        <v>#DIV/0!</v>
      </c>
      <c r="F56" s="153"/>
    </row>
    <row r="57" spans="1:18" x14ac:dyDescent="0.3">
      <c r="A57" s="139"/>
      <c r="B57" s="2">
        <f>B58</f>
        <v>35</v>
      </c>
      <c r="C57" s="4">
        <f>IF(B6+B7+B8+B9&lt;C15,-1,1)*B37/D26*(ABS(B6+B7-C15+B8+B9))*M9</f>
        <v>3.8422134758250219E-3</v>
      </c>
      <c r="D57" s="152"/>
      <c r="E57" s="28" t="e">
        <f>ABS(C57)/D56</f>
        <v>#DIV/0!</v>
      </c>
      <c r="F57" s="153"/>
    </row>
    <row r="58" spans="1:18" x14ac:dyDescent="0.3">
      <c r="A58" s="139" t="s">
        <v>9</v>
      </c>
      <c r="B58" s="2">
        <f>B10</f>
        <v>35</v>
      </c>
      <c r="C58" s="4">
        <f>IF(B6+B7+B8+B9&lt;C15,-1,1)*B37/D26*(ABS(B6+B7-C15+B8+B9))*M10</f>
        <v>0.23559518441291941</v>
      </c>
      <c r="D58" s="152">
        <f>Q10</f>
        <v>16.615384615384617</v>
      </c>
      <c r="E58" s="28">
        <f>ABS(C58)/D58</f>
        <v>1.4179339802629408E-2</v>
      </c>
      <c r="F58" s="153" t="str">
        <f t="shared" ref="F58" si="3">IF(ABS(C58)&gt;D58,"ROTURA!",IF(ABS(C59)&gt;D58,"ROTURA!","OK"))</f>
        <v>OK</v>
      </c>
    </row>
    <row r="59" spans="1:18" x14ac:dyDescent="0.3">
      <c r="A59" s="139"/>
      <c r="B59" s="2">
        <v>0</v>
      </c>
      <c r="C59" s="4">
        <f>IF(B6+B7+B8+B9+B10&lt;C15,-1,1)*B37/D26*(ABS(B6+B7-C15+B8+B9+B10))*M10</f>
        <v>0.37302570865378903</v>
      </c>
      <c r="D59" s="152"/>
      <c r="E59" s="28">
        <f>ABS(C59)/D58</f>
        <v>2.2450621354163227E-2</v>
      </c>
      <c r="F59" s="153"/>
    </row>
    <row r="60" spans="1:18" x14ac:dyDescent="0.3">
      <c r="B60" s="49">
        <f>B59</f>
        <v>0</v>
      </c>
      <c r="C60" s="49">
        <v>0</v>
      </c>
      <c r="D60" s="30" t="s">
        <v>37</v>
      </c>
      <c r="E60" s="31" t="e">
        <f>MAX(E50:E59)</f>
        <v>#DIV/0!</v>
      </c>
    </row>
    <row r="63" spans="1:18" ht="16.8" x14ac:dyDescent="0.35">
      <c r="A63" s="33"/>
      <c r="B63" s="24" t="s">
        <v>95</v>
      </c>
      <c r="C63" s="24" t="s">
        <v>2</v>
      </c>
      <c r="D63" s="47" t="s">
        <v>97</v>
      </c>
      <c r="E63" s="27" t="s">
        <v>27</v>
      </c>
      <c r="F63" s="50" t="s">
        <v>28</v>
      </c>
      <c r="Q63" s="33"/>
      <c r="R63" s="33"/>
    </row>
    <row r="64" spans="1:18" x14ac:dyDescent="0.3">
      <c r="A64" s="139" t="s">
        <v>5</v>
      </c>
      <c r="B64" s="65">
        <f>B38*M6*F82/(C6*(D26))</f>
        <v>0</v>
      </c>
      <c r="C64" s="67">
        <f>ABS(C15)</f>
        <v>95</v>
      </c>
      <c r="D64" s="141">
        <f>R6</f>
        <v>0</v>
      </c>
      <c r="E64" s="93" t="e">
        <f>B64/$D$64</f>
        <v>#DIV/0!</v>
      </c>
      <c r="F64" s="148" t="s">
        <v>60</v>
      </c>
      <c r="P64" s="67">
        <f>P66+B6</f>
        <v>190</v>
      </c>
      <c r="Q64" s="33"/>
      <c r="R64" s="33"/>
    </row>
    <row r="65" spans="1:18" x14ac:dyDescent="0.3">
      <c r="A65" s="139"/>
      <c r="B65" s="65">
        <f>B38*M6*F83/(C6*(D26))</f>
        <v>7.9022551438500035E-3</v>
      </c>
      <c r="C65" s="67">
        <f>IF(C15&lt;B6,0,ABS(C15-B6/2))</f>
        <v>77.5</v>
      </c>
      <c r="D65" s="141"/>
      <c r="E65" s="93" t="e">
        <f>B65/$D$64</f>
        <v>#DIV/0!</v>
      </c>
      <c r="F65" s="148"/>
      <c r="P65" s="67">
        <f>IF(C15&lt;B6,C13-C15,P66+B6/2)</f>
        <v>172.5</v>
      </c>
      <c r="Q65" s="33">
        <f>IF(C15&lt;B6,C13-C15,P66+B6/2)</f>
        <v>172.5</v>
      </c>
      <c r="R65" s="33"/>
    </row>
    <row r="66" spans="1:18" ht="15" thickBot="1" x14ac:dyDescent="0.35">
      <c r="A66" s="139"/>
      <c r="B66" s="65">
        <f>B38*M6*F84/(C6*(D26))</f>
        <v>1.4201154171556528E-2</v>
      </c>
      <c r="C66" s="67">
        <f>ABS(C15-B6)</f>
        <v>60</v>
      </c>
      <c r="D66" s="141"/>
      <c r="E66" s="93" t="e">
        <f>B66/$D$64</f>
        <v>#DIV/0!</v>
      </c>
      <c r="F66" s="148"/>
      <c r="P66" s="67">
        <f>P67</f>
        <v>155</v>
      </c>
      <c r="Q66" s="33"/>
      <c r="R66" s="33"/>
    </row>
    <row r="67" spans="1:18" x14ac:dyDescent="0.3">
      <c r="A67" s="139" t="s">
        <v>6</v>
      </c>
      <c r="B67" s="73">
        <f>B38*(M6*F85+M7*E85)/(C7*(D26))</f>
        <v>1.4201154171556528E-2</v>
      </c>
      <c r="C67" s="74">
        <f>ABS(C15-B6)</f>
        <v>60</v>
      </c>
      <c r="D67" s="141">
        <f>R7</f>
        <v>0.76153846153846161</v>
      </c>
      <c r="E67" s="93">
        <f>B67/$D$67</f>
        <v>1.8647980225276247E-2</v>
      </c>
      <c r="F67" s="149" t="str">
        <f>IF(ABS(B67)&gt;D67,"ROTURA!",IF(ABS(B68)&gt;D67,"ROTURA!",IF(ABS(B69)&gt;D67,"ROTURA!","OK")))</f>
        <v>OK</v>
      </c>
      <c r="P67" s="66">
        <f>P69+B7</f>
        <v>155</v>
      </c>
      <c r="Q67" s="33"/>
      <c r="R67" s="33"/>
    </row>
    <row r="68" spans="1:18" x14ac:dyDescent="0.3">
      <c r="A68" s="139"/>
      <c r="B68" s="73">
        <f>B38*(M6*F85+M7*E86)/(C7*(D26))</f>
        <v>1.4277731620692763E-2</v>
      </c>
      <c r="C68" s="74">
        <f>IF(C15&lt;B6+B7,IF(C15&gt;B6,0,ABS(C15-B6-B7/2)),ABS(C15-B6-B7/2))</f>
        <v>42.5</v>
      </c>
      <c r="D68" s="141"/>
      <c r="E68" s="93">
        <f>B68/$D$67</f>
        <v>1.8748536471616759E-2</v>
      </c>
      <c r="F68" s="150"/>
      <c r="P68" s="66">
        <f>IF(C15&lt;B6+B7,IF(C15&gt;B6,C13-C15,P69+B7/2),P69+B7/2)</f>
        <v>137.5</v>
      </c>
      <c r="Q68" s="33">
        <f>IF(C15&lt;B6+B7,IF(C15&gt;B6,C13-C15,P69+B7/2),P69+B7/2)</f>
        <v>137.5</v>
      </c>
      <c r="R68" s="33"/>
    </row>
    <row r="69" spans="1:18" ht="15" thickBot="1" x14ac:dyDescent="0.35">
      <c r="A69" s="139"/>
      <c r="B69" s="115">
        <f>B38*(M6*F85+M7*E87)/(C7*(D26))</f>
        <v>1.4328160672562968E-2</v>
      </c>
      <c r="C69" s="74">
        <f>ABS(C15-B6-B7)</f>
        <v>25</v>
      </c>
      <c r="D69" s="141"/>
      <c r="E69" s="93">
        <f>B69/$D$67</f>
        <v>1.8814756438719049E-2</v>
      </c>
      <c r="F69" s="151"/>
      <c r="P69" s="66">
        <f>P70</f>
        <v>120</v>
      </c>
      <c r="Q69" s="33"/>
      <c r="R69" s="33"/>
    </row>
    <row r="70" spans="1:18" x14ac:dyDescent="0.3">
      <c r="A70" s="137" t="s">
        <v>7</v>
      </c>
      <c r="B70" s="75">
        <f>B38*(M10*B88+M9*C88+M8*D88)/(C8*(D26))</f>
        <v>1.4328160672562968E-2</v>
      </c>
      <c r="C70" s="76">
        <f>ABS(C15-B6-B7)</f>
        <v>25</v>
      </c>
      <c r="D70" s="145">
        <f>R8</f>
        <v>7.3384615384615381E-2</v>
      </c>
      <c r="E70" s="94">
        <f>B70/$D$70</f>
        <v>0.19524747247727317</v>
      </c>
      <c r="F70" s="146" t="str">
        <f>IF(ABS(B70)&gt;D70,"ROTURA!",IF(ABS(B71)&gt;D70,"ROTURA!",IF(ABS(B72)&gt;D70,"ROTURA!","OK")))</f>
        <v>OK</v>
      </c>
      <c r="P70" s="67">
        <f>P72+B8</f>
        <v>120</v>
      </c>
      <c r="Q70" s="33"/>
      <c r="R70" s="33"/>
    </row>
    <row r="71" spans="1:18" x14ac:dyDescent="0.3">
      <c r="A71" s="137"/>
      <c r="B71" s="114">
        <f>B38*(M10*B88+M9*C88+M8*D89)/(C8*(D26))</f>
        <v>1.4328274037872034E-2</v>
      </c>
      <c r="C71" s="76">
        <f>IF(C15&lt;B6+B7+B8,IF(C15&gt;B6+B7,0,ABS(C15-B6-B7-B8/2)),ABS(C15-B6-B7-B8/2))</f>
        <v>0</v>
      </c>
      <c r="D71" s="145"/>
      <c r="E71" s="94">
        <f>B71/$D$70</f>
        <v>0.19524901728756441</v>
      </c>
      <c r="F71" s="146"/>
      <c r="P71" s="67">
        <f>IF(C15&lt;B6+B7+B8,IF(C15&gt;B6+B7,C13-C15,P72+B8/2),P72+B8/2)</f>
        <v>95</v>
      </c>
      <c r="Q71" s="33">
        <f>IF(C15&lt;B6+B7+B8,IF(C15&gt;B6+B7,C13-C15,P72+B8/2),P72+B8/2)</f>
        <v>95</v>
      </c>
      <c r="R71" s="33"/>
    </row>
    <row r="72" spans="1:18" ht="15" thickBot="1" x14ac:dyDescent="0.35">
      <c r="A72" s="137"/>
      <c r="B72" s="75">
        <f>B38*(M10*B88+M9*C88+M8*D90)/(C8*(D26))</f>
        <v>1.4328160672562968E-2</v>
      </c>
      <c r="C72" s="76">
        <f>ABS(C15-B6-B7-B8)</f>
        <v>25</v>
      </c>
      <c r="D72" s="145"/>
      <c r="E72" s="94">
        <f>B72/$D$70</f>
        <v>0.19524747247727317</v>
      </c>
      <c r="F72" s="147"/>
      <c r="P72" s="67">
        <f>P73</f>
        <v>70</v>
      </c>
      <c r="Q72" s="33"/>
      <c r="R72" s="33"/>
    </row>
    <row r="73" spans="1:18" x14ac:dyDescent="0.3">
      <c r="A73" s="139" t="s">
        <v>8</v>
      </c>
      <c r="B73" s="63">
        <f>B38*(M10*B91+M9*C91)/(C9*(D26))</f>
        <v>1.4328160672562968E-2</v>
      </c>
      <c r="C73" s="74">
        <f>ABS(C15-B6-B7-B8)</f>
        <v>25</v>
      </c>
      <c r="D73" s="141">
        <f>R9</f>
        <v>0.76153846153846161</v>
      </c>
      <c r="E73" s="29">
        <f>B73/$D$73</f>
        <v>1.8814756438719049E-2</v>
      </c>
      <c r="F73" s="144" t="str">
        <f>IF(ABS(B73)&gt;D73,"ROTURA!",IF(ABS(B74)&gt;D73,"ROTURA!",IF(ABS(B75)&gt;D73,"ROTURA!","OK")))</f>
        <v>OK</v>
      </c>
      <c r="P73" s="66">
        <f>P75+B9</f>
        <v>70</v>
      </c>
      <c r="Q73" s="33"/>
      <c r="R73" s="33"/>
    </row>
    <row r="74" spans="1:18" x14ac:dyDescent="0.3">
      <c r="A74" s="139"/>
      <c r="B74" s="73">
        <f>B38*(M10*B91+M9*C92)/(C9*(D26))</f>
        <v>1.4277731620692763E-2</v>
      </c>
      <c r="C74" s="74">
        <f>IF(C15&lt;B6+B7+B8+B9,IF(C15&gt;B6+B7+B8,0,ABS(C15-B6-B7-B8-B9/2)),ABS(C15-B6-B7-B8-B9/2))</f>
        <v>42.5</v>
      </c>
      <c r="D74" s="141"/>
      <c r="E74" s="29">
        <f>B74/$D$73</f>
        <v>1.8748536471616759E-2</v>
      </c>
      <c r="F74" s="144"/>
      <c r="P74" s="66">
        <f>IF(C15&lt;B6+B7+B8+B9,IF(C15&gt;B6+B7+B8,C13-C15,P75+B9/2),P75+B9/2)</f>
        <v>52.5</v>
      </c>
      <c r="Q74" s="33">
        <f>IF(C15&lt;B6+B7+B8+B9,IF(C15&gt;B6+B7+B8,C13-C15,P75+B9/2),P75+B9/2)</f>
        <v>52.5</v>
      </c>
      <c r="R74" s="33"/>
    </row>
    <row r="75" spans="1:18" x14ac:dyDescent="0.3">
      <c r="A75" s="139"/>
      <c r="B75" s="73">
        <f>B38*(M10*B91+M9*C93)/(C9*(D26))</f>
        <v>1.4201154171556528E-2</v>
      </c>
      <c r="C75" s="74">
        <f>ABS(C15-B6-B7-B8-B9)</f>
        <v>60</v>
      </c>
      <c r="D75" s="141"/>
      <c r="E75" s="29">
        <f>B75/$D$73</f>
        <v>1.8647980225276247E-2</v>
      </c>
      <c r="F75" s="144"/>
      <c r="P75" s="66">
        <f>P76</f>
        <v>35</v>
      </c>
      <c r="Q75" s="33"/>
      <c r="R75" s="33"/>
    </row>
    <row r="76" spans="1:18" x14ac:dyDescent="0.3">
      <c r="A76" s="139" t="s">
        <v>9</v>
      </c>
      <c r="B76" s="63">
        <f>B38*M10*B94/(C10*(D26))</f>
        <v>1.4201154171556528E-2</v>
      </c>
      <c r="C76" s="67">
        <f>ABS(C15-B6-B7-B8-B9)</f>
        <v>60</v>
      </c>
      <c r="D76" s="141">
        <f>R10</f>
        <v>0</v>
      </c>
      <c r="E76" s="29" t="e">
        <f>B76/$D$76</f>
        <v>#DIV/0!</v>
      </c>
      <c r="F76" s="144" t="s">
        <v>60</v>
      </c>
      <c r="P76" s="67">
        <f>B10</f>
        <v>35</v>
      </c>
      <c r="Q76" s="33"/>
      <c r="R76" s="33"/>
    </row>
    <row r="77" spans="1:18" x14ac:dyDescent="0.3">
      <c r="A77" s="139"/>
      <c r="B77" s="65">
        <f>B38*M10*B95/(C10*(D26))</f>
        <v>7.9022551438500035E-3</v>
      </c>
      <c r="C77" s="67">
        <f>IF(C15&lt;B6+B7+B8+B9+B10,IF(C15&gt;B6+B7+B8+B9,0,ABS(C15-B6-B7-B8-B9-B10/2)),ABS(C15-B6-B7-B8-B9-B10/2))</f>
        <v>77.5</v>
      </c>
      <c r="D77" s="141"/>
      <c r="E77" s="29" t="e">
        <f>B77/$D$76</f>
        <v>#DIV/0!</v>
      </c>
      <c r="F77" s="144"/>
      <c r="P77" s="67">
        <f>IF(C15&lt;B6+B7+B8+B9+B10,IF(C15&gt;B6+B7+B8+B9,C13-C15,P78+B10/2),P78+B10/2)</f>
        <v>17.5</v>
      </c>
      <c r="Q77" s="33">
        <f>IF(C15&lt;B6+B7+B8+B9+B10,IF(C15&gt;B6+B7+B8+B9,C13-C15,P78+B10/2),P78+B10/2)</f>
        <v>17.5</v>
      </c>
      <c r="R77" s="33"/>
    </row>
    <row r="78" spans="1:18" x14ac:dyDescent="0.3">
      <c r="A78" s="139"/>
      <c r="B78" s="65">
        <f>B38*M10*B96/(C10*(D26))</f>
        <v>0</v>
      </c>
      <c r="C78" s="67">
        <f>ABS(C15-B6-B7-B8-B9-B10)</f>
        <v>95</v>
      </c>
      <c r="D78" s="141"/>
      <c r="E78" s="29" t="e">
        <f>B78/$D$76</f>
        <v>#DIV/0!</v>
      </c>
      <c r="F78" s="144"/>
      <c r="P78" s="67">
        <f>0</f>
        <v>0</v>
      </c>
      <c r="Q78" s="33"/>
      <c r="R78" s="33"/>
    </row>
    <row r="79" spans="1:18" x14ac:dyDescent="0.3">
      <c r="A79" s="33"/>
      <c r="B79" s="33"/>
      <c r="D79" s="30" t="s">
        <v>38</v>
      </c>
      <c r="E79" s="32" t="e">
        <f>MAX(E64:E78)</f>
        <v>#DIV/0!</v>
      </c>
      <c r="G79" s="33"/>
      <c r="H79" s="33"/>
      <c r="I79" s="33"/>
      <c r="J79" s="33"/>
      <c r="K79" s="33"/>
      <c r="L79" s="33"/>
      <c r="M79" s="33"/>
      <c r="O79" s="24"/>
      <c r="Q79" s="33"/>
      <c r="R79" s="33"/>
    </row>
    <row r="80" spans="1:18" x14ac:dyDescent="0.3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3">
      <c r="A81" s="33" t="s">
        <v>29</v>
      </c>
      <c r="B81" s="24" t="s">
        <v>21</v>
      </c>
      <c r="C81" s="24" t="s">
        <v>22</v>
      </c>
      <c r="D81" s="24" t="s">
        <v>23</v>
      </c>
      <c r="E81" s="24" t="s">
        <v>24</v>
      </c>
      <c r="F81" s="24" t="s">
        <v>25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x14ac:dyDescent="0.3">
      <c r="A82" s="139" t="s">
        <v>5</v>
      </c>
      <c r="B82" s="54"/>
      <c r="C82" s="54"/>
      <c r="D82" s="54"/>
      <c r="E82" s="54"/>
      <c r="F82" s="54">
        <f>C6*(C15^2/2-C64^2/2)</f>
        <v>0</v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3">
      <c r="A83" s="139"/>
      <c r="B83" s="54"/>
      <c r="C83" s="54"/>
      <c r="D83" s="54"/>
      <c r="E83" s="54"/>
      <c r="F83" s="54">
        <f>C6*(C15^2/2-C65^2/2)</f>
        <v>1509375</v>
      </c>
    </row>
    <row r="84" spans="1:18" x14ac:dyDescent="0.3">
      <c r="A84" s="139"/>
      <c r="B84" s="34"/>
      <c r="C84" s="34"/>
      <c r="D84" s="34"/>
      <c r="E84" s="34"/>
      <c r="F84" s="54">
        <f>C6*(C15^2/2-C66^2/2)</f>
        <v>2712500</v>
      </c>
    </row>
    <row r="85" spans="1:18" x14ac:dyDescent="0.3">
      <c r="A85" s="139" t="s">
        <v>6</v>
      </c>
      <c r="B85" s="54"/>
      <c r="C85" s="54"/>
      <c r="D85" s="54"/>
      <c r="E85" s="54">
        <f>C7*(C15^2/2-C15*B6+B6^2/2-C67^2/2)</f>
        <v>0</v>
      </c>
      <c r="F85" s="140">
        <f>C6*(C15*B6-B6^2/2)</f>
        <v>2712500</v>
      </c>
    </row>
    <row r="86" spans="1:18" x14ac:dyDescent="0.3">
      <c r="A86" s="139"/>
      <c r="B86" s="54"/>
      <c r="C86" s="54"/>
      <c r="D86" s="54"/>
      <c r="E86" s="54">
        <f>C7*(C15^2/2-C15*B6+B6^2/2-C68^2/2)</f>
        <v>896875</v>
      </c>
      <c r="F86" s="140"/>
    </row>
    <row r="87" spans="1:18" x14ac:dyDescent="0.3">
      <c r="A87" s="139"/>
      <c r="B87" s="34"/>
      <c r="C87" s="34"/>
      <c r="D87" s="34"/>
      <c r="E87" s="54">
        <f>C7*(C15^2/2-C15*B6+B6^2/2-C69^2/2)</f>
        <v>1487500</v>
      </c>
      <c r="F87" s="140"/>
    </row>
    <row r="88" spans="1:18" x14ac:dyDescent="0.3">
      <c r="A88" s="137" t="s">
        <v>7</v>
      </c>
      <c r="B88" s="138">
        <f>C10*(C13*B10-C15*B10-B10^2/2)</f>
        <v>2712500</v>
      </c>
      <c r="C88" s="138">
        <f>C9*(C13*B9-C15*B9-B10*B9-B9^2/2)</f>
        <v>1487500</v>
      </c>
      <c r="D88" s="72">
        <f>C8*(C13^2/2-C13*(C15+B10+B9)+C15^2/2+C15*(B10+B9)+B10^2/2+B10*B9+B9^2/2-C70^2/2)</f>
        <v>0</v>
      </c>
      <c r="E88" s="72"/>
      <c r="F88" s="72"/>
    </row>
    <row r="89" spans="1:18" x14ac:dyDescent="0.3">
      <c r="A89" s="137"/>
      <c r="B89" s="138"/>
      <c r="C89" s="138"/>
      <c r="D89" s="72">
        <f>C8*(C13^2/2-C13*(C15+B10+B9)+C15^2/2+C15*(B10+B9)+B10^2/2+B10*B9+B9^2/2-C71^2/2)</f>
        <v>312500</v>
      </c>
      <c r="E89" s="72"/>
      <c r="F89" s="72"/>
    </row>
    <row r="90" spans="1:18" x14ac:dyDescent="0.3">
      <c r="A90" s="137"/>
      <c r="B90" s="138"/>
      <c r="C90" s="138"/>
      <c r="D90" s="72">
        <f>C8*(C13^2/2-C13*(C15+B10+B9)+C15^2/2+C15*(B10+B9)+B10^2/2+B10*B9+B9^2/2-C72^2/2)</f>
        <v>0</v>
      </c>
      <c r="E90" s="72"/>
      <c r="F90" s="72"/>
    </row>
    <row r="91" spans="1:18" x14ac:dyDescent="0.3">
      <c r="A91" s="139" t="s">
        <v>8</v>
      </c>
      <c r="B91" s="140">
        <f>C10*(C13*B10-C15*B10-B10^2/2)</f>
        <v>2712500</v>
      </c>
      <c r="C91" s="54">
        <f>C9*(C13^2/2-C13*(C15+B10)+C15^2/2+C15*B10+B10^2/2-C73^2/2)</f>
        <v>1487500</v>
      </c>
      <c r="D91" s="54"/>
      <c r="E91" s="54"/>
      <c r="F91" s="54"/>
    </row>
    <row r="92" spans="1:18" x14ac:dyDescent="0.3">
      <c r="A92" s="139"/>
      <c r="B92" s="140"/>
      <c r="C92" s="54">
        <f>C9*(C13^2/2-C13*(C15+B10)+C15^2/2+C15*B10+B10^2/2-C74^2/2)</f>
        <v>896875</v>
      </c>
      <c r="D92" s="54"/>
      <c r="E92" s="54"/>
      <c r="F92" s="54"/>
    </row>
    <row r="93" spans="1:18" x14ac:dyDescent="0.3">
      <c r="A93" s="139"/>
      <c r="B93" s="140"/>
      <c r="C93" s="54">
        <f>C9*(C13^2/2-C13*(C15+B10)+C15^2/2+C15*B10+B10^2/2-C75^2/2)</f>
        <v>0</v>
      </c>
      <c r="D93" s="34"/>
      <c r="E93" s="34"/>
      <c r="F93" s="34"/>
    </row>
    <row r="94" spans="1:18" x14ac:dyDescent="0.3">
      <c r="A94" s="139" t="s">
        <v>9</v>
      </c>
      <c r="B94" s="54">
        <f>C10*(C13^2/2-C13*C15+C15^2/2-C76^2/2)</f>
        <v>2712500</v>
      </c>
      <c r="C94" s="54"/>
      <c r="D94" s="54"/>
      <c r="E94" s="54"/>
      <c r="F94" s="54"/>
    </row>
    <row r="95" spans="1:18" x14ac:dyDescent="0.3">
      <c r="A95" s="139"/>
      <c r="B95" s="54">
        <f>C10*(C13^2/2-C13*C15+C15^2/2-C77^2/2)</f>
        <v>1509375</v>
      </c>
      <c r="C95" s="54"/>
      <c r="D95" s="54"/>
      <c r="E95" s="54"/>
      <c r="F95" s="54"/>
    </row>
    <row r="96" spans="1:18" x14ac:dyDescent="0.3">
      <c r="A96" s="139"/>
      <c r="B96" s="54">
        <f>C10*(C13^2/2-C13*C15+C15^2/2-C78^2/2)</f>
        <v>0</v>
      </c>
      <c r="C96" s="54"/>
      <c r="D96" s="54"/>
      <c r="E96" s="54"/>
      <c r="F96" s="54"/>
    </row>
    <row r="98" spans="1:4" s="102" customFormat="1" x14ac:dyDescent="0.3">
      <c r="A98" s="133" t="s">
        <v>114</v>
      </c>
      <c r="B98" s="133"/>
      <c r="C98" s="133"/>
      <c r="D98" s="106"/>
    </row>
    <row r="99" spans="1:4" ht="15" thickBot="1" x14ac:dyDescent="0.35"/>
    <row r="100" spans="1:4" ht="15" thickBot="1" x14ac:dyDescent="0.35">
      <c r="A100" s="17" t="s">
        <v>113</v>
      </c>
      <c r="B100" s="120">
        <f>(B44/X6)^2+(ABS(C50)/Q6)</f>
        <v>2.7765771670351762E-2</v>
      </c>
      <c r="D100" s="88" t="str">
        <f>IF(1&lt;B100,"NÃO VERIFICA","OK")</f>
        <v>OK</v>
      </c>
    </row>
    <row r="102" spans="1:4" s="102" customFormat="1" x14ac:dyDescent="0.3">
      <c r="A102" s="133" t="s">
        <v>92</v>
      </c>
      <c r="B102" s="133"/>
      <c r="C102" s="133"/>
      <c r="D102" s="106"/>
    </row>
    <row r="103" spans="1:4" ht="15" thickBot="1" x14ac:dyDescent="0.35"/>
    <row r="104" spans="1:4" ht="16.2" thickBot="1" x14ac:dyDescent="0.4">
      <c r="A104" s="50" t="s">
        <v>101</v>
      </c>
      <c r="B104" s="131">
        <v>1</v>
      </c>
    </row>
    <row r="105" spans="1:4" ht="16.8" x14ac:dyDescent="0.35">
      <c r="A105" s="121" t="s">
        <v>103</v>
      </c>
      <c r="B105" s="81">
        <f>Inst!kclt</f>
        <v>2462181586798.9795</v>
      </c>
    </row>
    <row r="106" spans="1:4" ht="16.8" x14ac:dyDescent="0.35">
      <c r="A106" s="121" t="s">
        <v>104</v>
      </c>
      <c r="B106" s="123">
        <f>Inst!F26</f>
        <v>150894.30577563655</v>
      </c>
    </row>
    <row r="107" spans="1:4" ht="15.6" x14ac:dyDescent="0.35">
      <c r="A107" s="17" t="s">
        <v>102</v>
      </c>
      <c r="B107" s="132">
        <f>PI()^2*B105/(B104*C12)^2*1/(1+PI()^2/(B104*C12)^2*B105/B106)</f>
        <v>142907.89300825304</v>
      </c>
    </row>
    <row r="108" spans="1:4" ht="15.6" x14ac:dyDescent="0.35">
      <c r="A108" s="17" t="s">
        <v>107</v>
      </c>
      <c r="B108" s="119">
        <f>SQRT((D6+D10)*W6/B107)</f>
        <v>3.2072333505353892</v>
      </c>
    </row>
    <row r="109" spans="1:4" ht="15.6" x14ac:dyDescent="0.35">
      <c r="A109" s="124" t="s">
        <v>109</v>
      </c>
      <c r="B109" s="81">
        <v>0.2</v>
      </c>
    </row>
    <row r="110" spans="1:4" x14ac:dyDescent="0.3">
      <c r="A110" s="124" t="s">
        <v>110</v>
      </c>
      <c r="B110" s="119">
        <f>0.5*(1+B109*(B108-0.3)+B108^2)</f>
        <v>5.9338962174467689</v>
      </c>
    </row>
    <row r="111" spans="1:4" ht="16.2" thickBot="1" x14ac:dyDescent="0.4">
      <c r="A111" s="124" t="s">
        <v>111</v>
      </c>
      <c r="B111" s="119">
        <f>MIN(1,1/(B110+SQRT(B110^2-B108^2)))</f>
        <v>9.1521717265197672E-2</v>
      </c>
    </row>
    <row r="112" spans="1:4" ht="15" thickBot="1" x14ac:dyDescent="0.35">
      <c r="A112" s="124" t="s">
        <v>113</v>
      </c>
      <c r="B112" s="119">
        <f>B44/(B111*X6)+ABS(C50)/Q6</f>
        <v>0.81903835611430231</v>
      </c>
      <c r="D112" s="88" t="str">
        <f>IF(1&lt;B112,"NÃO VERIFICA","OK")</f>
        <v>OK</v>
      </c>
    </row>
    <row r="114" spans="1:5" s="102" customFormat="1" x14ac:dyDescent="0.3">
      <c r="A114" s="133" t="s">
        <v>100</v>
      </c>
      <c r="B114" s="133"/>
      <c r="C114" s="133"/>
      <c r="D114" s="106"/>
    </row>
    <row r="115" spans="1:5" x14ac:dyDescent="0.3">
      <c r="B115" s="49"/>
    </row>
    <row r="116" spans="1:5" ht="15" thickBot="1" x14ac:dyDescent="0.35">
      <c r="A116" s="50" t="s">
        <v>70</v>
      </c>
      <c r="B116" s="69">
        <f>SLS_inst!B36</f>
        <v>1.0329534477903923</v>
      </c>
      <c r="C116" s="48" t="s">
        <v>11</v>
      </c>
    </row>
    <row r="117" spans="1:5" ht="15" thickBot="1" x14ac:dyDescent="0.35">
      <c r="A117" s="50" t="s">
        <v>71</v>
      </c>
      <c r="B117" s="13">
        <f>SLS_inst!B39</f>
        <v>10</v>
      </c>
      <c r="C117" s="21" t="s">
        <v>59</v>
      </c>
      <c r="D117" s="88" t="str">
        <f>IF(B116&gt;B117,"NÃO VERIFICA","OK")</f>
        <v>OK</v>
      </c>
    </row>
    <row r="118" spans="1:5" x14ac:dyDescent="0.3">
      <c r="C118" s="7"/>
    </row>
    <row r="119" spans="1:5" ht="15" thickBot="1" x14ac:dyDescent="0.35">
      <c r="A119" s="50" t="s">
        <v>72</v>
      </c>
      <c r="B119" s="69">
        <f>SLS_fin!B37</f>
        <v>1.0329534477903923</v>
      </c>
      <c r="C119" s="7" t="s">
        <v>11</v>
      </c>
      <c r="E119" s="45"/>
    </row>
    <row r="120" spans="1:5" ht="15" thickBot="1" x14ac:dyDescent="0.35">
      <c r="A120" s="50" t="s">
        <v>73</v>
      </c>
      <c r="B120" s="13">
        <f>SLS_fin!B40</f>
        <v>20</v>
      </c>
      <c r="C120" s="21" t="s">
        <v>66</v>
      </c>
      <c r="D120" s="88" t="str">
        <f>IF(B119&gt;B120,"NÃO VERIFICA","OK")</f>
        <v>OK</v>
      </c>
    </row>
    <row r="122" spans="1:5" s="102" customFormat="1" x14ac:dyDescent="0.3">
      <c r="A122" s="133" t="s">
        <v>78</v>
      </c>
      <c r="B122" s="133"/>
      <c r="C122" s="133"/>
    </row>
    <row r="123" spans="1:5" ht="15" thickBot="1" x14ac:dyDescent="0.35"/>
    <row r="124" spans="1:5" ht="17.399999999999999" thickBot="1" x14ac:dyDescent="0.4">
      <c r="A124" s="110" t="s">
        <v>85</v>
      </c>
      <c r="B124" s="101">
        <v>0.35</v>
      </c>
    </row>
    <row r="125" spans="1:5" ht="16.8" thickBot="1" x14ac:dyDescent="0.35">
      <c r="A125" s="110" t="s">
        <v>86</v>
      </c>
      <c r="B125" s="112">
        <f>1/(B126+SUM(V6:V10)+B127)</f>
        <v>0.32033921911512087</v>
      </c>
      <c r="D125" s="88" t="str">
        <f>IF(B125&gt;B124,"NÃO VERIFICA","OK")</f>
        <v>OK</v>
      </c>
    </row>
    <row r="126" spans="1:5" x14ac:dyDescent="0.3">
      <c r="A126" s="110" t="s">
        <v>76</v>
      </c>
      <c r="B126" s="111">
        <v>0.13</v>
      </c>
    </row>
    <row r="127" spans="1:5" x14ac:dyDescent="0.3">
      <c r="A127" s="110" t="s">
        <v>77</v>
      </c>
      <c r="B127" s="98">
        <v>0.04</v>
      </c>
    </row>
    <row r="129" spans="2:4" s="102" customFormat="1" x14ac:dyDescent="0.3">
      <c r="B129" s="107" t="s">
        <v>79</v>
      </c>
    </row>
    <row r="131" spans="2:4" x14ac:dyDescent="0.3">
      <c r="B131" s="143" t="s">
        <v>80</v>
      </c>
      <c r="C131" s="143"/>
      <c r="D131" s="100" t="str">
        <f>F67</f>
        <v>OK</v>
      </c>
    </row>
    <row r="132" spans="2:4" x14ac:dyDescent="0.3">
      <c r="B132" s="143" t="s">
        <v>81</v>
      </c>
      <c r="C132" s="143"/>
      <c r="D132" s="100" t="str">
        <f>F70</f>
        <v>OK</v>
      </c>
    </row>
    <row r="133" spans="2:4" x14ac:dyDescent="0.3">
      <c r="B133" s="143" t="s">
        <v>113</v>
      </c>
      <c r="C133" s="143"/>
      <c r="D133" s="99" t="str">
        <f>D100</f>
        <v>OK</v>
      </c>
    </row>
    <row r="134" spans="2:4" x14ac:dyDescent="0.3">
      <c r="B134" s="135" t="s">
        <v>92</v>
      </c>
      <c r="C134" s="136"/>
      <c r="D134" s="100" t="str">
        <f>D112</f>
        <v>OK</v>
      </c>
    </row>
    <row r="135" spans="2:4" x14ac:dyDescent="0.3">
      <c r="B135" s="143" t="s">
        <v>82</v>
      </c>
      <c r="C135" s="143"/>
      <c r="D135" s="99" t="str">
        <f>D117</f>
        <v>OK</v>
      </c>
    </row>
    <row r="136" spans="2:4" x14ac:dyDescent="0.3">
      <c r="B136" s="142" t="s">
        <v>83</v>
      </c>
      <c r="C136" s="142"/>
      <c r="D136" s="99" t="str">
        <f>D120</f>
        <v>OK</v>
      </c>
    </row>
    <row r="137" spans="2:4" x14ac:dyDescent="0.3">
      <c r="B137" s="143" t="s">
        <v>78</v>
      </c>
      <c r="C137" s="143"/>
      <c r="D137" s="108" t="str">
        <f>D125</f>
        <v>OK</v>
      </c>
    </row>
  </sheetData>
  <sheetProtection algorithmName="SHA-512" hashValue="yv5FtcamBvpC17ZrK9CUf730M4KV2u3BJpbHh4gEFx/uaEfLZMPOw+um1lNeD3XlgCFzP2tKqlt6KzYtlNeOcg==" saltValue="REYN8oKGSLa1LmuilOR0sw==" spinCount="100000" sheet="1" objects="1" scenarios="1"/>
  <protectedRanges>
    <protectedRange sqref="E32:E34" name="Intervalo8"/>
    <protectedRange sqref="W6" name="Intervalo6"/>
    <protectedRange sqref="O6" name="Intervalo4"/>
    <protectedRange sqref="C12" name="Intervalo2"/>
    <protectedRange sqref="B6:B8" name="Intervalo1"/>
    <protectedRange sqref="K6:L7" name="Intervalo3"/>
    <protectedRange sqref="P7" name="Intervalo5"/>
    <protectedRange sqref="B32:B34" name="Intervalo7"/>
    <protectedRange sqref="C34:D34" name="Intervalo9"/>
    <protectedRange sqref="B124" name="Intervalo11"/>
  </protectedRanges>
  <mergeCells count="70">
    <mergeCell ref="O3:O5"/>
    <mergeCell ref="P3:P5"/>
    <mergeCell ref="H6:H10"/>
    <mergeCell ref="R3:R5"/>
    <mergeCell ref="N3:N5"/>
    <mergeCell ref="Q3:Q5"/>
    <mergeCell ref="F50:F51"/>
    <mergeCell ref="A2:C2"/>
    <mergeCell ref="E3:E4"/>
    <mergeCell ref="M3:M5"/>
    <mergeCell ref="G6:G10"/>
    <mergeCell ref="K3:K5"/>
    <mergeCell ref="L3:L5"/>
    <mergeCell ref="A17:C17"/>
    <mergeCell ref="A29:C29"/>
    <mergeCell ref="A46:C46"/>
    <mergeCell ref="A50:A51"/>
    <mergeCell ref="D50:D51"/>
    <mergeCell ref="A42:C42"/>
    <mergeCell ref="A52:A53"/>
    <mergeCell ref="D52:D53"/>
    <mergeCell ref="F52:F53"/>
    <mergeCell ref="A54:A55"/>
    <mergeCell ref="D54:D55"/>
    <mergeCell ref="F54:F55"/>
    <mergeCell ref="A56:A57"/>
    <mergeCell ref="D56:D57"/>
    <mergeCell ref="F56:F57"/>
    <mergeCell ref="A58:A59"/>
    <mergeCell ref="D58:D59"/>
    <mergeCell ref="F58:F59"/>
    <mergeCell ref="A64:A66"/>
    <mergeCell ref="D64:D66"/>
    <mergeCell ref="F64:F66"/>
    <mergeCell ref="A67:A69"/>
    <mergeCell ref="D67:D69"/>
    <mergeCell ref="F67:F69"/>
    <mergeCell ref="F76:F78"/>
    <mergeCell ref="A82:A84"/>
    <mergeCell ref="A85:A87"/>
    <mergeCell ref="F85:F87"/>
    <mergeCell ref="A70:A72"/>
    <mergeCell ref="D70:D72"/>
    <mergeCell ref="F70:F72"/>
    <mergeCell ref="A73:A75"/>
    <mergeCell ref="D73:D75"/>
    <mergeCell ref="F73:F75"/>
    <mergeCell ref="B136:C136"/>
    <mergeCell ref="B137:C137"/>
    <mergeCell ref="A122:C122"/>
    <mergeCell ref="B133:C133"/>
    <mergeCell ref="B131:C131"/>
    <mergeCell ref="B132:C132"/>
    <mergeCell ref="B135:C135"/>
    <mergeCell ref="A102:C102"/>
    <mergeCell ref="W3:W5"/>
    <mergeCell ref="X3:X5"/>
    <mergeCell ref="B134:C134"/>
    <mergeCell ref="A98:C98"/>
    <mergeCell ref="S3:S5"/>
    <mergeCell ref="T3:T5"/>
    <mergeCell ref="A114:C114"/>
    <mergeCell ref="A88:A90"/>
    <mergeCell ref="B88:B90"/>
    <mergeCell ref="C88:C90"/>
    <mergeCell ref="A91:A93"/>
    <mergeCell ref="B91:B93"/>
    <mergeCell ref="A94:A96"/>
    <mergeCell ref="A76:A78"/>
    <mergeCell ref="D76:D7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C12" sqref="C12"/>
    </sheetView>
  </sheetViews>
  <sheetFormatPr defaultRowHeight="14.4" x14ac:dyDescent="0.3"/>
  <cols>
    <col min="1" max="1" width="22.109375" style="48" customWidth="1"/>
    <col min="2" max="2" width="22.88671875" style="48" customWidth="1"/>
    <col min="3" max="3" width="24.109375" style="48" customWidth="1"/>
    <col min="4" max="4" width="23.6640625" style="48" customWidth="1"/>
    <col min="5" max="5" width="16.5546875" style="48" customWidth="1"/>
    <col min="6" max="6" width="13.109375" style="48" customWidth="1"/>
    <col min="7" max="7" width="10.44140625" style="48" customWidth="1"/>
    <col min="8" max="8" width="10.6640625" style="48" customWidth="1"/>
    <col min="9" max="9" width="10.109375" style="48" customWidth="1"/>
    <col min="10" max="10" width="9.88671875" style="48" customWidth="1"/>
    <col min="11" max="11" width="10.5546875" style="48" customWidth="1"/>
    <col min="12" max="12" width="10" style="48" customWidth="1"/>
    <col min="13" max="13" width="9.5546875" style="48" customWidth="1"/>
    <col min="14" max="14" width="12" style="48" bestFit="1" customWidth="1"/>
    <col min="15" max="16384" width="8.88671875" style="48"/>
  </cols>
  <sheetData>
    <row r="1" spans="1:13" ht="16.2" customHeight="1" x14ac:dyDescent="0.3">
      <c r="I1" s="52"/>
      <c r="J1" s="52"/>
      <c r="K1" s="52"/>
    </row>
    <row r="2" spans="1:13" ht="17.25" customHeight="1" x14ac:dyDescent="0.3">
      <c r="A2" s="163" t="s">
        <v>3</v>
      </c>
      <c r="B2" s="163"/>
      <c r="C2" s="163"/>
      <c r="E2" s="159" t="s">
        <v>36</v>
      </c>
      <c r="F2" s="134" t="s">
        <v>53</v>
      </c>
      <c r="G2" s="134" t="s">
        <v>54</v>
      </c>
      <c r="I2" s="52"/>
      <c r="J2" s="52"/>
      <c r="K2" s="52"/>
      <c r="M2" s="52"/>
    </row>
    <row r="3" spans="1:13" ht="17.25" customHeight="1" x14ac:dyDescent="0.3">
      <c r="E3" s="159"/>
      <c r="F3" s="134"/>
      <c r="G3" s="134"/>
      <c r="I3" s="52"/>
      <c r="J3" s="52"/>
      <c r="K3" s="52"/>
      <c r="M3" s="52"/>
    </row>
    <row r="4" spans="1:13" ht="16.2" x14ac:dyDescent="0.3">
      <c r="A4" s="50"/>
      <c r="B4" s="50" t="s">
        <v>1</v>
      </c>
      <c r="C4" s="50" t="s">
        <v>0</v>
      </c>
      <c r="D4" s="50" t="s">
        <v>33</v>
      </c>
      <c r="E4" s="50" t="s">
        <v>34</v>
      </c>
      <c r="F4" s="134"/>
      <c r="G4" s="134"/>
      <c r="I4" s="52"/>
      <c r="J4" s="52"/>
      <c r="K4" s="52"/>
      <c r="M4" s="52"/>
    </row>
    <row r="5" spans="1:13" ht="14.4" customHeight="1" x14ac:dyDescent="0.3">
      <c r="A5" s="11" t="str">
        <f>ULS!A6</f>
        <v>Lamela 5</v>
      </c>
      <c r="B5" s="11">
        <f>ULS!B6</f>
        <v>35</v>
      </c>
      <c r="C5" s="11">
        <f>ULS!C6</f>
        <v>1000</v>
      </c>
      <c r="D5" s="11">
        <f>ULS!D6</f>
        <v>35000</v>
      </c>
      <c r="E5" s="11">
        <f>ULS!E6</f>
        <v>612500</v>
      </c>
      <c r="F5" s="13">
        <f>ULS!K6</f>
        <v>11000</v>
      </c>
      <c r="G5" s="13">
        <f>ULS!L6</f>
        <v>690</v>
      </c>
      <c r="I5" s="52"/>
      <c r="J5" s="52"/>
      <c r="K5" s="52"/>
      <c r="M5" s="52"/>
    </row>
    <row r="6" spans="1:13" x14ac:dyDescent="0.3">
      <c r="A6" s="11" t="str">
        <f>ULS!A7</f>
        <v>Lamela 4</v>
      </c>
      <c r="B6" s="11">
        <f>ULS!B7</f>
        <v>35</v>
      </c>
      <c r="C6" s="11">
        <f>ULS!C7</f>
        <v>1000</v>
      </c>
      <c r="D6" s="11">
        <f>ULS!D7</f>
        <v>35000</v>
      </c>
      <c r="E6" s="11">
        <f>ULS!E7</f>
        <v>1837500</v>
      </c>
      <c r="F6" s="13">
        <f>ULS!K7</f>
        <v>370</v>
      </c>
      <c r="G6" s="13">
        <f>ULS!L7</f>
        <v>69</v>
      </c>
      <c r="I6" s="52"/>
      <c r="J6" s="52"/>
      <c r="K6" s="52"/>
      <c r="M6" s="52"/>
    </row>
    <row r="7" spans="1:13" x14ac:dyDescent="0.3">
      <c r="A7" s="11" t="str">
        <f>ULS!A8</f>
        <v>Lamela 3</v>
      </c>
      <c r="B7" s="11">
        <f>ULS!B8</f>
        <v>50</v>
      </c>
      <c r="C7" s="11">
        <f>ULS!C8</f>
        <v>1000</v>
      </c>
      <c r="D7" s="11">
        <f>ULS!D8</f>
        <v>50000</v>
      </c>
      <c r="E7" s="11">
        <f>ULS!E8</f>
        <v>4750000</v>
      </c>
      <c r="F7" s="13">
        <f>ULS!K8</f>
        <v>3.8109999999999999</v>
      </c>
      <c r="G7" s="13">
        <f>ULS!L8</f>
        <v>3.012</v>
      </c>
      <c r="I7" s="52"/>
      <c r="J7" s="52"/>
      <c r="K7" s="52"/>
      <c r="M7" s="52"/>
    </row>
    <row r="8" spans="1:13" x14ac:dyDescent="0.3">
      <c r="A8" s="11" t="str">
        <f>ULS!A9</f>
        <v>Lamela 2</v>
      </c>
      <c r="B8" s="11">
        <f>ULS!B9</f>
        <v>35</v>
      </c>
      <c r="C8" s="11">
        <f>ULS!C9</f>
        <v>1000</v>
      </c>
      <c r="D8" s="11">
        <f>ULS!D9</f>
        <v>35000</v>
      </c>
      <c r="E8" s="11">
        <f>ULS!E9</f>
        <v>4812500</v>
      </c>
      <c r="F8" s="13">
        <f>ULS!K9</f>
        <v>370</v>
      </c>
      <c r="G8" s="13">
        <f>ULS!L9</f>
        <v>69</v>
      </c>
      <c r="I8" s="52"/>
      <c r="J8" s="52"/>
      <c r="K8" s="52"/>
      <c r="M8" s="52"/>
    </row>
    <row r="9" spans="1:13" x14ac:dyDescent="0.3">
      <c r="A9" s="11" t="str">
        <f>ULS!A10</f>
        <v>Lamela 1</v>
      </c>
      <c r="B9" s="11">
        <f>ULS!B10</f>
        <v>35</v>
      </c>
      <c r="C9" s="11">
        <f>ULS!C10</f>
        <v>1000</v>
      </c>
      <c r="D9" s="11">
        <f>ULS!D10</f>
        <v>35000</v>
      </c>
      <c r="E9" s="11">
        <f>ULS!E10</f>
        <v>6037500</v>
      </c>
      <c r="F9" s="13">
        <f>ULS!K10</f>
        <v>11000</v>
      </c>
      <c r="G9" s="13">
        <f>ULS!L10</f>
        <v>690</v>
      </c>
      <c r="I9" s="52"/>
      <c r="J9" s="52"/>
      <c r="K9" s="52"/>
      <c r="M9" s="52"/>
    </row>
    <row r="10" spans="1:13" ht="15" thickBot="1" x14ac:dyDescent="0.35">
      <c r="I10" s="52"/>
      <c r="J10" s="52"/>
      <c r="K10" s="52"/>
      <c r="L10" s="52"/>
      <c r="M10" s="52"/>
    </row>
    <row r="11" spans="1:13" ht="15" thickBot="1" x14ac:dyDescent="0.35">
      <c r="B11" s="42" t="s">
        <v>17</v>
      </c>
      <c r="C11" s="122">
        <f>ULS!C12</f>
        <v>3000</v>
      </c>
      <c r="D11" s="48" t="s">
        <v>11</v>
      </c>
      <c r="E11" s="5"/>
      <c r="I11" s="52"/>
      <c r="J11" s="52"/>
      <c r="K11" s="52"/>
      <c r="L11" s="52"/>
      <c r="M11" s="52"/>
    </row>
    <row r="12" spans="1:13" x14ac:dyDescent="0.3">
      <c r="B12" s="42" t="s">
        <v>35</v>
      </c>
      <c r="C12" s="68">
        <f>SUM(B5:B9)</f>
        <v>190</v>
      </c>
      <c r="D12" s="48" t="s">
        <v>11</v>
      </c>
      <c r="I12" s="52"/>
      <c r="J12" s="52"/>
      <c r="K12" s="52"/>
    </row>
    <row r="13" spans="1:13" x14ac:dyDescent="0.3">
      <c r="B13" s="42" t="s">
        <v>20</v>
      </c>
      <c r="C13" s="6">
        <f>C5</f>
        <v>1000</v>
      </c>
      <c r="D13" s="48" t="s">
        <v>11</v>
      </c>
      <c r="I13" s="52"/>
      <c r="J13" s="52"/>
      <c r="K13" s="52"/>
    </row>
    <row r="14" spans="1:13" x14ac:dyDescent="0.3">
      <c r="A14" s="41"/>
      <c r="B14" s="42" t="s">
        <v>40</v>
      </c>
      <c r="C14" s="19">
        <f>(F5*E5+F6*E6+F7*E7+F8*E8+F9*E9)/(F5*B5*C5+F6*B6*C6+F7*B7*C7+F8*B8*C8+F9*B9*C9)</f>
        <v>95</v>
      </c>
      <c r="D14" s="48" t="s">
        <v>11</v>
      </c>
    </row>
    <row r="15" spans="1:13" x14ac:dyDescent="0.3">
      <c r="A15" s="26"/>
      <c r="B15" s="42"/>
      <c r="C15" s="42"/>
    </row>
    <row r="16" spans="1:13" x14ac:dyDescent="0.3">
      <c r="B16" s="3"/>
      <c r="C16" s="3"/>
      <c r="D16" s="3"/>
    </row>
    <row r="17" spans="1:16" x14ac:dyDescent="0.3">
      <c r="A17" s="163" t="s">
        <v>4</v>
      </c>
      <c r="B17" s="163"/>
      <c r="C17" s="163"/>
      <c r="D17" s="3"/>
      <c r="E17" s="7"/>
    </row>
    <row r="18" spans="1:16" x14ac:dyDescent="0.3">
      <c r="A18" s="21"/>
      <c r="B18" s="21" t="s">
        <v>13</v>
      </c>
      <c r="C18" s="21" t="s">
        <v>10</v>
      </c>
      <c r="D18" s="21" t="s">
        <v>15</v>
      </c>
    </row>
    <row r="19" spans="1:16" x14ac:dyDescent="0.3">
      <c r="A19" s="21"/>
      <c r="B19" s="21" t="s">
        <v>14</v>
      </c>
      <c r="C19" s="49" t="s">
        <v>26</v>
      </c>
      <c r="D19" s="21" t="s">
        <v>16</v>
      </c>
    </row>
    <row r="20" spans="1:16" ht="16.2" x14ac:dyDescent="0.3">
      <c r="A20" s="49"/>
      <c r="B20" s="50" t="s">
        <v>12</v>
      </c>
      <c r="C20" s="50" t="s">
        <v>31</v>
      </c>
      <c r="D20" s="22" t="s">
        <v>32</v>
      </c>
      <c r="E20" s="22" t="s">
        <v>32</v>
      </c>
      <c r="G20" s="44"/>
    </row>
    <row r="21" spans="1:16" x14ac:dyDescent="0.3">
      <c r="A21" s="11" t="s">
        <v>5</v>
      </c>
      <c r="B21" s="13">
        <f>ABS(C14-B5/2)</f>
        <v>77.5</v>
      </c>
      <c r="C21" s="2">
        <f>C5*B5^3/12+D5*B21^2</f>
        <v>213791666.66666666</v>
      </c>
      <c r="D21" s="37">
        <f>C21*F5</f>
        <v>2351708333333.333</v>
      </c>
    </row>
    <row r="22" spans="1:16" x14ac:dyDescent="0.3">
      <c r="A22" s="11" t="s">
        <v>6</v>
      </c>
      <c r="B22" s="13">
        <f>ABS(C14-B5-B6/2)</f>
        <v>42.5</v>
      </c>
      <c r="C22" s="2">
        <f>C6*B6^3/12+D6*B22^2</f>
        <v>66791666.666666664</v>
      </c>
      <c r="D22" s="37">
        <f>C22*F6</f>
        <v>24712916666.666664</v>
      </c>
      <c r="G22" s="44"/>
    </row>
    <row r="23" spans="1:16" x14ac:dyDescent="0.3">
      <c r="A23" s="12" t="s">
        <v>7</v>
      </c>
      <c r="B23" s="14">
        <f>ABS(C14-B5-B6-B7/2)</f>
        <v>0</v>
      </c>
      <c r="C23" s="23">
        <f>C7*B7^3/12+D7*B23^2</f>
        <v>10416666.666666666</v>
      </c>
      <c r="D23" s="38">
        <f>C23*F7</f>
        <v>39697916.666666664</v>
      </c>
      <c r="L23" s="26"/>
    </row>
    <row r="24" spans="1:16" x14ac:dyDescent="0.3">
      <c r="A24" s="11" t="s">
        <v>8</v>
      </c>
      <c r="B24" s="13">
        <f>ABS(C14-B5-B6-B7-B8/2)</f>
        <v>42.5</v>
      </c>
      <c r="C24" s="2">
        <f>C8*B8^3/12+D8*B24^2</f>
        <v>66791666.666666664</v>
      </c>
      <c r="D24" s="37">
        <f>C24*F8</f>
        <v>24712916666.666664</v>
      </c>
      <c r="F24" s="42"/>
      <c r="H24" s="49"/>
      <c r="L24" s="42"/>
      <c r="O24" s="45"/>
    </row>
    <row r="25" spans="1:16" x14ac:dyDescent="0.3">
      <c r="A25" s="11" t="s">
        <v>9</v>
      </c>
      <c r="B25" s="13">
        <f>ABS(C14-B5-B6-B7-B8-B9/2)</f>
        <v>77.5</v>
      </c>
      <c r="C25" s="2">
        <f>C9*B9^3/12+D9*B25^2</f>
        <v>213791666.66666666</v>
      </c>
      <c r="D25" s="37">
        <f>C25*F9</f>
        <v>2351708333333.333</v>
      </c>
      <c r="E25" s="49"/>
      <c r="F25" s="55" t="s">
        <v>48</v>
      </c>
      <c r="H25" s="42"/>
      <c r="L25" s="42"/>
      <c r="O25" s="45"/>
    </row>
    <row r="26" spans="1:16" s="16" customFormat="1" ht="15.6" x14ac:dyDescent="0.35">
      <c r="A26" s="17"/>
      <c r="B26" s="43"/>
      <c r="D26" s="20">
        <f>SUM(D21:D25)</f>
        <v>4752882197916.666</v>
      </c>
      <c r="E26" s="39" t="s">
        <v>39</v>
      </c>
      <c r="F26" s="40">
        <f>60*gci*gdo*gqu*gtr*gum*kclt^2/(b*(8*h^5*etr^2*gci*gdo*gqu*gum-40*h^4*(n*etr-edo*hdo+etr*(hdo+hum)-eum*hum)*etr*gci*gdo*gqu*gum+20*h^3*(4*n^2*etr^2-8*n*(edo*hdo-etr*(hdo+hum)+eum*hum)*etr+3*edo^2*hdo^2-edo*(etr*(7*hdo+8*hum)-6*eum*hum)*hdo+4*etr^2*(hdo^2+2*hdo*hum+hum^2)-etr*eum*(6*hdo+7*hum)*hum+3*eum^2*hum^2)*gci*gdo*gqu*gum-20*h^2*(4*n^3*etr^2*gdo*gum-12*n^2*(edo*hdo-etr*(hdo+hum)+eum*hum)*etr*gdo*gum+3*n*(3*edo^2*hdo^2-edo*(etr*(7*hdo+8*hum)-6*eum*hum)*hdo+4*etr^2*(hdo^2+2*hdo*hum+hum^2)-etr*eum*(6*hdo+7*hum)*hum+3*eum^2*hum^2)*gdo*gum+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*gci*gqu+5*h*(8*n^4*etr^2*gdo*gum-32*n^3*(edo*hdo-etr*(hdo+hum)+eum*hum)*etr*gdo*gum+12*n^2*(3*edo^2*hdo^2-edo*(etr*(7*hdo+8*hum)-6*eum*hum)*hdo+4*etr^2*(hdo^2+2*hdo*hum+hum^2)-etr*eum*(6*hdo+7*hum)*hum+3*eum^2*hum^2)*gdo*gum+8*n*(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+edo^2*(3*gdo*(hdo+2*hum)*(5*hdo+6*hum)-gtr*hdo*(3*hdo+8*hum))*gum*hdo^2-2*edo*(2*etr*gdo*(5*hdo^3+18*hdo^2*hum+21*hdo*hum^2+8*hum^3)-eum*(3*gdo*(2*hdo^2+9*hdo*hum+8*hum^2)-gtr*hdo*(2*hdo+9*hum))*hum)*gum*hdo+8*etr^2*gdo*gum*(hdo^2+2*hdo*hum+hum^2)^2-4*etr*eum*gdo*gum*(2*hdo^3+9*hdo^2*hum+12*hdo*hum^2+5*hum^3)*hum-3*eum^2*(gdo*(gtr*hum-gum*(4*hdo+5*hum))+4*gtr*gum*hdo)*hum^3)*gci*gqu+40*n^4*(eci*hci+edo*hdo+equ*hqu-etr*(hci+hdo+hqu+hum)+eum*hum)*etr*gci*gdo*gqu*gum+20*n^3*(3*eci^2*hci^2+eci*(6*equ*hqu-etr*(7*hci+6*hqu))*hci-3*edo^2*hdo^2+edo*(etr*(7*hdo+8*hum)-6*eum*hum)*hdo+3*equ^2*hqu^2-equ*etr*(8*hci+7*hqu)*hqu+4*etr^2*(hci^2+2*hci*hqu-hdo^2-2*hdo*hum+hqu^2-hum^2)+etr*eum*(6*hdo+7*hum)*hum-3*eum^2*hum^2)*gci*gdo*gqu*gum-20*n^2*(eci^2*(3*gci*(gqu*(2*hci+hqu)-gtr*hqu)-gqu*gtr*hci)*gdo*gum*hci^2+3*eci*(equ*(gqu*(5*hci+3*hqu)-gtr*hqu)*hqu-etr*gqu*(3*hci^2+5*hci*hqu+2*hqu^2))*gci*gdo*gum*hci+(edo^2*(3*gdo*(2*hdo+3*hum)-gtr*hdo)*gqu*gum*hdo^2-3*edo*(etr*gdo*(3*hdo^2+7*hdo*hum+4*hum^2)-eum*(gdo*(3*hdo+5*hum)-gtr*hdo)*hum)*gqu*gum*hdo+equ^2*gdo*(3*gqu*(3*hci+2*hqu)-gtr*hqu)*gum*hqu^2-3*equ*etr*gdo*gqu*gum*(4*hci^2+7*hci*hqu+3*hqu^2)*hqu+(4*etr^2*gdo*gum*(hci^3+3*hci^2*hqu+3*hci*hqu^2+hdo^3+3*hdo^2*hum+3*hdo*hum^2+hqu^3+hum^3)-3*etr*eum*gdo*gum*(2*hdo^2+5*hdo*hum+3*hum^2)*hum-eum^2*(gdo*(gtr*hum-3*gum*(hdo+2*hum))+3*gtr*gum*hdo)*hum^2)*gqu)*gci)+5*n*(3*eci^2*(gci*(gqu*(5*hci+4*hqu)-4*gtr*hqu)-gqu*gtr*hci)*gdo*gum*hci^3+2*eci*(equ*(3*gqu*(8*hci^2+9*hci*hqu+2*hqu^2)-gtr*(9*hci+2*hqu)*hqu)*hqu-2*etr*gqu*(5*hci^3+12*hci^2*hqu+9*hci*hqu^2+2*hqu^3))*gci*gdo*gum*hci-(edo^2*(3*gdo*(hdo+2*hum)*(5*hdo+6*hum)-gtr*hdo*(3*hdo+8*hum))*gqu*gum*hdo^2-2*edo*(2*etr*gdo*(5*hdo^3+18*hdo^2*hum+21*hdo*hum^2+8*hum^3)-eum*(3*gdo*(2*hdo^2+9*hdo*hum+8*hum^2)-gtr*hdo*(2*hdo+9*hum))*hum)*gqu*gum*hdo-equ^2*gdo*(3*gqu*(2*hci+hqu)*(6*hci+5*hqu)-gtr*(8*hci+3*hqu)*hqu)*gum*hqu^2+4*equ*etr*gdo*gqu*gum*(8*hci^3+21*hci^2*hqu+18*hci*hqu^2+5*hqu^3)*hqu-(8*etr^2*gdo*gum*(hci^4+4*hci^3*hqu+6*hci^2*hqu^2+4*hci*hqu^3-hdo^4-4*hdo^3*hum-6*hdo^2*hum^2-4*hdo*hum^3+hqu^4-hum^4)+4*etr*eum*gdo*gum*(2*hdo^3+9*hdo^2*hum+12*hdo*hum^2+5*hum^3)*hum+3*eum^2*(gdo*(gtr*hum-gum*(4*hdo+5*hum))+4*gtr*gum*hdo)*hum^3)*gqu)*gci)-3*eci^2*(5*gci*(gqu*(hci+hqu)-gtr*hqu)-gqu*gtr*hci)*gdo*gum*hci^4-10*eci*(equ*(3*gqu*(hci+hqu)*(2*hci+hqu)-gtr*(3*hci+hqu)*hqu)*hqu-2*etr*gqu*(hci+hqu)*(hci^2+2*hci*hqu+hqu^2))*gci*gdo*gum*hci^2-(edo^2*(15*gdo*(hdo+hum)*(hdo+2*hum)^2-gtr*hdo*(3*hdo^2+15*hdo*hum+20*hum^2))*gqu*gum*hdo^2-10*edo*(2*etr*gdo*(hdo+hum)*(hdo+2*hum)*(hdo^2+2*hdo*hum+hum^2)-eum*(3*gdo*(hdo+hum)*(hdo+2*hum)-gtr*hdo*(hdo+3*hum))*hum^2)*gqu*gum*hdo+equ^2*gdo*(15*gqu*(hci+hqu)*(2*hci+hqu)^2-gtr*(20*hci^2+15*hci*hqu+3*hqu^2)*hqu)*gum*hqu^2-20*equ*etr*gdo*gqu*gum*(hci+hqu)*(2*hci+hqu)*(hci^2+2*hci*hqu+hqu^2)*hqu+(8*etr^2*gdo*gum*(hci^5+5*hci^4*hqu+10*hci^3*hqu^2+10*hci^2*hqu^3+5*hci*hqu^4+hdo^5+5*hdo^4*hum+10*hdo^3*hum^2+10*hdo^2*hum^3+5*hdo*hum^4+hqu^5+hum^5)-20*etr*eum*gdo*gum*(hdo+hum)*(hdo^2+2*hdo*hum+hum^2)*hum^2-3*eum^2*(gdo*(gtr*hum-5*gum*(hdo+hum))+5*gtr*gum*hdo)*hum^4)*gqu)*gci))</f>
        <v>1387093.1663196289</v>
      </c>
      <c r="H26" s="15"/>
      <c r="J26" s="48"/>
      <c r="L26" s="42"/>
      <c r="N26" s="48"/>
      <c r="O26" s="45"/>
      <c r="P26" s="48"/>
    </row>
    <row r="27" spans="1:16" s="16" customFormat="1" ht="15.6" x14ac:dyDescent="0.35">
      <c r="A27" s="17"/>
      <c r="B27" s="15"/>
      <c r="D27" s="39" t="s">
        <v>50</v>
      </c>
      <c r="E27" s="48"/>
      <c r="F27" s="18"/>
      <c r="G27" s="10"/>
    </row>
    <row r="28" spans="1:16" x14ac:dyDescent="0.3">
      <c r="A28" s="163" t="s">
        <v>43</v>
      </c>
      <c r="B28" s="163"/>
      <c r="C28" s="163"/>
    </row>
    <row r="29" spans="1:16" ht="15" thickBot="1" x14ac:dyDescent="0.35">
      <c r="A29" s="42"/>
      <c r="B29" s="42"/>
    </row>
    <row r="30" spans="1:16" ht="15" thickBot="1" x14ac:dyDescent="0.35">
      <c r="A30" s="42" t="s">
        <v>62</v>
      </c>
      <c r="B30" s="77">
        <f>ULS!B39</f>
        <v>1</v>
      </c>
      <c r="C30" s="51" t="s">
        <v>47</v>
      </c>
      <c r="G30" s="46"/>
      <c r="H30" s="51"/>
      <c r="J30" s="56"/>
    </row>
    <row r="31" spans="1:16" x14ac:dyDescent="0.3">
      <c r="A31" s="42"/>
      <c r="B31" s="42"/>
    </row>
    <row r="32" spans="1:16" x14ac:dyDescent="0.3">
      <c r="A32" s="163" t="s">
        <v>61</v>
      </c>
      <c r="B32" s="163"/>
      <c r="C32" s="163"/>
      <c r="D32" s="46"/>
    </row>
    <row r="33" spans="1:6" x14ac:dyDescent="0.3">
      <c r="B33" s="49"/>
      <c r="F33" s="49"/>
    </row>
    <row r="34" spans="1:6" x14ac:dyDescent="0.3">
      <c r="A34" s="50" t="s">
        <v>44</v>
      </c>
      <c r="B34" s="8">
        <f>5*B30*C11^4/(384*kclt)</f>
        <v>0.22190482660443422</v>
      </c>
      <c r="C34" s="48" t="s">
        <v>11</v>
      </c>
      <c r="D34" s="53">
        <f>B34/B36</f>
        <v>0.21482558297192819</v>
      </c>
    </row>
    <row r="35" spans="1:6" x14ac:dyDescent="0.3">
      <c r="A35" s="50" t="s">
        <v>45</v>
      </c>
      <c r="B35" s="8">
        <f>B30*C11^2/8/F26</f>
        <v>0.81104862118595822</v>
      </c>
      <c r="C35" s="48" t="s">
        <v>11</v>
      </c>
      <c r="D35" s="53">
        <f>B35/B36</f>
        <v>0.78517441702807189</v>
      </c>
    </row>
    <row r="36" spans="1:6" x14ac:dyDescent="0.3">
      <c r="A36" s="50" t="s">
        <v>46</v>
      </c>
      <c r="B36" s="69">
        <f>B34+B35</f>
        <v>1.0329534477903923</v>
      </c>
      <c r="C36" s="48" t="s">
        <v>11</v>
      </c>
    </row>
    <row r="37" spans="1:6" ht="15.6" x14ac:dyDescent="0.3">
      <c r="B37" s="55"/>
      <c r="C37" s="12" t="str">
        <f>IF(B36&gt;B39,"NÃO VERIFICA","OK")</f>
        <v>OK</v>
      </c>
      <c r="D37" s="78"/>
    </row>
    <row r="39" spans="1:6" x14ac:dyDescent="0.3">
      <c r="A39" s="50" t="s">
        <v>49</v>
      </c>
      <c r="B39" s="62">
        <f>C11/300</f>
        <v>10</v>
      </c>
      <c r="C39" s="50" t="s">
        <v>59</v>
      </c>
      <c r="E39" s="45"/>
    </row>
  </sheetData>
  <sheetProtection algorithmName="SHA-512" hashValue="hy1KEJpQ1Df09lEny+Dpg3YuMAdlOZYzey2R2mTv6dtfbo7g4S4vWXe2RI+PmGUiPL0PhQUg6qzLfU7pi2XnQg==" saltValue="pLew49pC15iCcwv7ON0Q+Q==" spinCount="100000" sheet="1" objects="1" scenarios="1"/>
  <mergeCells count="7">
    <mergeCell ref="G2:G4"/>
    <mergeCell ref="A32:C32"/>
    <mergeCell ref="A17:C17"/>
    <mergeCell ref="A28:C28"/>
    <mergeCell ref="A2:C2"/>
    <mergeCell ref="E2:E3"/>
    <mergeCell ref="F2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Normal="100" workbookViewId="0">
      <selection activeCell="F5" sqref="F5"/>
    </sheetView>
  </sheetViews>
  <sheetFormatPr defaultRowHeight="14.4" x14ac:dyDescent="0.3"/>
  <cols>
    <col min="1" max="1" width="22.109375" style="48" customWidth="1"/>
    <col min="2" max="2" width="22.88671875" style="48" customWidth="1"/>
    <col min="3" max="3" width="24.109375" style="48" customWidth="1"/>
    <col min="4" max="4" width="23.6640625" style="48" customWidth="1"/>
    <col min="5" max="5" width="16.5546875" style="48" customWidth="1"/>
    <col min="6" max="6" width="13.109375" style="48" customWidth="1"/>
    <col min="7" max="7" width="15.6640625" style="48" customWidth="1"/>
    <col min="8" max="8" width="10.6640625" style="48" customWidth="1"/>
    <col min="9" max="9" width="10.109375" style="48" customWidth="1"/>
    <col min="10" max="10" width="9.88671875" style="48" customWidth="1"/>
    <col min="11" max="11" width="10.5546875" style="48" customWidth="1"/>
    <col min="12" max="12" width="10" style="48" customWidth="1"/>
    <col min="13" max="13" width="9.5546875" style="48" customWidth="1"/>
    <col min="14" max="14" width="12" style="48" bestFit="1" customWidth="1"/>
    <col min="15" max="16384" width="8.88671875" style="48"/>
  </cols>
  <sheetData>
    <row r="1" spans="1:13" ht="16.2" customHeight="1" x14ac:dyDescent="0.3">
      <c r="I1" s="52"/>
      <c r="J1" s="52"/>
      <c r="K1" s="52"/>
    </row>
    <row r="2" spans="1:13" ht="17.25" customHeight="1" x14ac:dyDescent="0.3">
      <c r="A2" s="163" t="s">
        <v>3</v>
      </c>
      <c r="B2" s="163"/>
      <c r="C2" s="163"/>
      <c r="E2" s="159" t="s">
        <v>36</v>
      </c>
      <c r="F2" s="134" t="s">
        <v>67</v>
      </c>
      <c r="G2" s="134" t="s">
        <v>68</v>
      </c>
      <c r="I2" s="52"/>
      <c r="J2" s="52"/>
      <c r="K2" s="52"/>
      <c r="M2" s="52"/>
    </row>
    <row r="3" spans="1:13" ht="17.25" customHeight="1" x14ac:dyDescent="0.3">
      <c r="E3" s="159"/>
      <c r="F3" s="134"/>
      <c r="G3" s="134"/>
      <c r="I3" s="52"/>
      <c r="J3" s="52"/>
      <c r="K3" s="52"/>
      <c r="M3" s="52"/>
    </row>
    <row r="4" spans="1:13" ht="16.2" x14ac:dyDescent="0.3">
      <c r="A4" s="50"/>
      <c r="B4" s="50" t="s">
        <v>1</v>
      </c>
      <c r="C4" s="50" t="s">
        <v>0</v>
      </c>
      <c r="D4" s="50" t="s">
        <v>33</v>
      </c>
      <c r="E4" s="50" t="s">
        <v>34</v>
      </c>
      <c r="F4" s="134"/>
      <c r="G4" s="134"/>
      <c r="I4" s="52"/>
      <c r="J4" s="52"/>
      <c r="K4" s="52"/>
      <c r="M4" s="52"/>
    </row>
    <row r="5" spans="1:13" ht="14.4" customHeight="1" x14ac:dyDescent="0.3">
      <c r="A5" s="11" t="str">
        <f>ULS!A6</f>
        <v>Lamela 5</v>
      </c>
      <c r="B5" s="11">
        <f>ULS!B6</f>
        <v>35</v>
      </c>
      <c r="C5" s="11">
        <f>ULS!C6</f>
        <v>1000</v>
      </c>
      <c r="D5" s="11">
        <f>ULS!D6</f>
        <v>35000</v>
      </c>
      <c r="E5" s="11">
        <f>ULS!E6</f>
        <v>612500</v>
      </c>
      <c r="F5" s="13">
        <f>ULS!S6</f>
        <v>6875</v>
      </c>
      <c r="G5" s="13">
        <f>ULS!T6</f>
        <v>431.25</v>
      </c>
      <c r="I5" s="52"/>
      <c r="J5" s="52"/>
      <c r="K5" s="52"/>
      <c r="M5" s="52"/>
    </row>
    <row r="6" spans="1:13" x14ac:dyDescent="0.3">
      <c r="A6" s="11" t="str">
        <f>ULS!A7</f>
        <v>Lamela 4</v>
      </c>
      <c r="B6" s="11">
        <f>ULS!B7</f>
        <v>35</v>
      </c>
      <c r="C6" s="11">
        <f>ULS!C7</f>
        <v>1000</v>
      </c>
      <c r="D6" s="11">
        <f>ULS!D7</f>
        <v>35000</v>
      </c>
      <c r="E6" s="11">
        <f>ULS!E7</f>
        <v>1837500</v>
      </c>
      <c r="F6" s="13">
        <f>ULS!S7</f>
        <v>112.12121212121212</v>
      </c>
      <c r="G6" s="13">
        <f>ULS!T7</f>
        <v>20.90909090909091</v>
      </c>
      <c r="I6" s="52"/>
      <c r="J6" s="52"/>
      <c r="K6" s="52"/>
      <c r="M6" s="52"/>
    </row>
    <row r="7" spans="1:13" x14ac:dyDescent="0.3">
      <c r="A7" s="11" t="str">
        <f>ULS!A8</f>
        <v>Lamela 3</v>
      </c>
      <c r="B7" s="11">
        <f>ULS!B8</f>
        <v>50</v>
      </c>
      <c r="C7" s="11">
        <f>ULS!C8</f>
        <v>1000</v>
      </c>
      <c r="D7" s="11">
        <f>ULS!D8</f>
        <v>50000</v>
      </c>
      <c r="E7" s="11">
        <f>ULS!E8</f>
        <v>4750000</v>
      </c>
      <c r="F7" s="13">
        <f>ULS!S8</f>
        <v>0.47637499999999999</v>
      </c>
      <c r="G7" s="13">
        <f>ULS!T8</f>
        <v>0.3765</v>
      </c>
      <c r="I7" s="52"/>
      <c r="J7" s="52"/>
      <c r="K7" s="52"/>
      <c r="M7" s="52"/>
    </row>
    <row r="8" spans="1:13" x14ac:dyDescent="0.3">
      <c r="A8" s="11" t="str">
        <f>ULS!A9</f>
        <v>Lamela 2</v>
      </c>
      <c r="B8" s="11">
        <f>ULS!B9</f>
        <v>35</v>
      </c>
      <c r="C8" s="11">
        <f>ULS!C9</f>
        <v>1000</v>
      </c>
      <c r="D8" s="11">
        <f>ULS!D9</f>
        <v>35000</v>
      </c>
      <c r="E8" s="11">
        <f>ULS!E9</f>
        <v>4812500</v>
      </c>
      <c r="F8" s="13">
        <f>ULS!S9</f>
        <v>112.12121212121212</v>
      </c>
      <c r="G8" s="13">
        <f>ULS!T9</f>
        <v>20.90909090909091</v>
      </c>
      <c r="I8" s="52"/>
      <c r="J8" s="52"/>
      <c r="K8" s="52"/>
      <c r="M8" s="52"/>
    </row>
    <row r="9" spans="1:13" x14ac:dyDescent="0.3">
      <c r="A9" s="11" t="str">
        <f>ULS!A10</f>
        <v>Lamela 1</v>
      </c>
      <c r="B9" s="11">
        <f>ULS!B10</f>
        <v>35</v>
      </c>
      <c r="C9" s="11">
        <f>ULS!C10</f>
        <v>1000</v>
      </c>
      <c r="D9" s="11">
        <f>ULS!D10</f>
        <v>35000</v>
      </c>
      <c r="E9" s="11">
        <f>ULS!E10</f>
        <v>6037500</v>
      </c>
      <c r="F9" s="13">
        <f>ULS!S10</f>
        <v>6875</v>
      </c>
      <c r="G9" s="13">
        <f>ULS!T10</f>
        <v>431.25</v>
      </c>
      <c r="I9" s="52"/>
      <c r="J9" s="52"/>
      <c r="K9" s="52"/>
      <c r="M9" s="52"/>
    </row>
    <row r="10" spans="1:13" ht="15" thickBot="1" x14ac:dyDescent="0.35">
      <c r="I10" s="52"/>
      <c r="J10" s="52"/>
      <c r="K10" s="52"/>
      <c r="L10" s="52"/>
      <c r="M10" s="52"/>
    </row>
    <row r="11" spans="1:13" ht="15" thickBot="1" x14ac:dyDescent="0.35">
      <c r="B11" s="42" t="s">
        <v>17</v>
      </c>
      <c r="C11" s="122">
        <f>ULS!C12</f>
        <v>3000</v>
      </c>
      <c r="D11" s="48" t="s">
        <v>11</v>
      </c>
      <c r="E11" s="5"/>
      <c r="I11" s="52"/>
      <c r="J11" s="52"/>
      <c r="K11" s="52"/>
      <c r="L11" s="52"/>
      <c r="M11" s="52"/>
    </row>
    <row r="12" spans="1:13" x14ac:dyDescent="0.3">
      <c r="B12" s="42" t="s">
        <v>35</v>
      </c>
      <c r="C12" s="68">
        <f>SUM(B5:B9)</f>
        <v>190</v>
      </c>
      <c r="D12" s="48" t="s">
        <v>11</v>
      </c>
      <c r="I12" s="52"/>
      <c r="J12" s="52"/>
      <c r="K12" s="52"/>
    </row>
    <row r="13" spans="1:13" x14ac:dyDescent="0.3">
      <c r="B13" s="42" t="s">
        <v>20</v>
      </c>
      <c r="C13" s="6">
        <f>C5</f>
        <v>1000</v>
      </c>
      <c r="D13" s="48" t="s">
        <v>11</v>
      </c>
      <c r="I13" s="52"/>
      <c r="J13" s="52"/>
      <c r="K13" s="52"/>
    </row>
    <row r="14" spans="1:13" x14ac:dyDescent="0.3">
      <c r="A14" s="41"/>
      <c r="B14" s="42" t="s">
        <v>40</v>
      </c>
      <c r="C14" s="19">
        <f>(F5*E5+F6*E6+F7*E7+F8*E8+F9*E9)/(F5*B5*C5+F6*B6*C6+F7*B7*C7+F8*B8*C8+F9*B9*C9)</f>
        <v>95</v>
      </c>
      <c r="D14" s="48" t="s">
        <v>11</v>
      </c>
    </row>
    <row r="15" spans="1:13" x14ac:dyDescent="0.3">
      <c r="A15" s="26"/>
      <c r="B15" s="42"/>
      <c r="C15" s="42"/>
      <c r="D15" s="86"/>
    </row>
    <row r="16" spans="1:13" x14ac:dyDescent="0.3">
      <c r="B16" s="3"/>
      <c r="C16" s="3"/>
      <c r="D16" s="3"/>
    </row>
    <row r="17" spans="1:16" x14ac:dyDescent="0.3">
      <c r="A17" s="163" t="s">
        <v>4</v>
      </c>
      <c r="B17" s="163"/>
      <c r="C17" s="163"/>
      <c r="D17" s="3"/>
      <c r="E17" s="7"/>
    </row>
    <row r="18" spans="1:16" x14ac:dyDescent="0.3">
      <c r="A18" s="21"/>
      <c r="B18" s="21" t="s">
        <v>13</v>
      </c>
      <c r="C18" s="21" t="s">
        <v>10</v>
      </c>
      <c r="D18" s="21" t="s">
        <v>15</v>
      </c>
    </row>
    <row r="19" spans="1:16" x14ac:dyDescent="0.3">
      <c r="A19" s="21"/>
      <c r="B19" s="21" t="s">
        <v>14</v>
      </c>
      <c r="C19" s="49" t="s">
        <v>26</v>
      </c>
      <c r="D19" s="21" t="s">
        <v>16</v>
      </c>
    </row>
    <row r="20" spans="1:16" ht="16.2" x14ac:dyDescent="0.3">
      <c r="A20" s="49"/>
      <c r="B20" s="50" t="s">
        <v>12</v>
      </c>
      <c r="C20" s="50" t="s">
        <v>31</v>
      </c>
      <c r="D20" s="22" t="s">
        <v>32</v>
      </c>
      <c r="E20" s="22" t="s">
        <v>32</v>
      </c>
      <c r="G20" s="44"/>
    </row>
    <row r="21" spans="1:16" x14ac:dyDescent="0.3">
      <c r="A21" s="11" t="s">
        <v>5</v>
      </c>
      <c r="B21" s="13">
        <f>ABS(C14-B5/2)</f>
        <v>77.5</v>
      </c>
      <c r="C21" s="2">
        <f>C5*B5^3/12+D5*B21^2</f>
        <v>213791666.66666666</v>
      </c>
      <c r="D21" s="37">
        <f>C21*F5</f>
        <v>1469817708333.3333</v>
      </c>
    </row>
    <row r="22" spans="1:16" x14ac:dyDescent="0.3">
      <c r="A22" s="11" t="s">
        <v>6</v>
      </c>
      <c r="B22" s="13">
        <f>ABS(C14-B5-B6/2)</f>
        <v>42.5</v>
      </c>
      <c r="C22" s="2">
        <f>C6*B6^3/12+D6*B22^2</f>
        <v>66791666.666666664</v>
      </c>
      <c r="D22" s="37">
        <f>C22*F6</f>
        <v>7488762626.2626266</v>
      </c>
      <c r="G22" s="44"/>
    </row>
    <row r="23" spans="1:16" x14ac:dyDescent="0.3">
      <c r="A23" s="12" t="s">
        <v>7</v>
      </c>
      <c r="B23" s="14">
        <f>ABS(C14-B5-B6-B7/2)</f>
        <v>0</v>
      </c>
      <c r="C23" s="23">
        <f>C7*B7^3/12+D7*B23^2</f>
        <v>10416666.666666666</v>
      </c>
      <c r="D23" s="38">
        <f>C23*F7</f>
        <v>4962239.583333333</v>
      </c>
      <c r="L23" s="26"/>
    </row>
    <row r="24" spans="1:16" x14ac:dyDescent="0.3">
      <c r="A24" s="11" t="s">
        <v>8</v>
      </c>
      <c r="B24" s="13">
        <f>ABS(C14-B5-B6-B7-B8/2)</f>
        <v>42.5</v>
      </c>
      <c r="C24" s="2">
        <f>C8*B8^3/12+D8*B24^2</f>
        <v>66791666.666666664</v>
      </c>
      <c r="D24" s="37">
        <f>C24*F8</f>
        <v>7488762626.2626266</v>
      </c>
      <c r="F24" s="42"/>
      <c r="H24" s="49"/>
      <c r="L24" s="42"/>
      <c r="O24" s="45"/>
    </row>
    <row r="25" spans="1:16" x14ac:dyDescent="0.3">
      <c r="A25" s="11" t="s">
        <v>9</v>
      </c>
      <c r="B25" s="13">
        <f>ABS(C14-B5-B6-B7-B8-B9/2)</f>
        <v>77.5</v>
      </c>
      <c r="C25" s="2">
        <f>C9*B9^3/12+D9*B25^2</f>
        <v>213791666.66666666</v>
      </c>
      <c r="D25" s="37">
        <f>C25*F9</f>
        <v>1469817708333.3333</v>
      </c>
      <c r="E25" s="49"/>
      <c r="F25" s="55" t="s">
        <v>48</v>
      </c>
      <c r="H25" s="42"/>
      <c r="L25" s="42"/>
      <c r="O25" s="45"/>
    </row>
    <row r="26" spans="1:16" s="16" customFormat="1" ht="15.6" x14ac:dyDescent="0.35">
      <c r="A26" s="17"/>
      <c r="B26" s="43"/>
      <c r="D26" s="20">
        <f>SUM(D21:D25)</f>
        <v>2954617904158.7754</v>
      </c>
      <c r="E26" s="39" t="s">
        <v>39</v>
      </c>
      <c r="F26" s="40">
        <f>60*gci*gdo*gqu*gtr*gum*kclt^2/(b*(8*h^5*etr^2*gci*gdo*gqu*gum-40*h^4*(n*etr-edo*hdo+etr*(hdo+hum)-eum*hum)*etr*gci*gdo*gqu*gum+20*h^3*(4*n^2*etr^2-8*n*(edo*hdo-etr*(hdo+hum)+eum*hum)*etr+3*edo^2*hdo^2-edo*(etr*(7*hdo+8*hum)-6*eum*hum)*hdo+4*etr^2*(hdo^2+2*hdo*hum+hum^2)-etr*eum*(6*hdo+7*hum)*hum+3*eum^2*hum^2)*gci*gdo*gqu*gum-20*h^2*(4*n^3*etr^2*gdo*gum-12*n^2*(edo*hdo-etr*(hdo+hum)+eum*hum)*etr*gdo*gum+3*n*(3*edo^2*hdo^2-edo*(etr*(7*hdo+8*hum)-6*eum*hum)*hdo+4*etr^2*(hdo^2+2*hdo*hum+hum^2)-etr*eum*(6*hdo+7*hum)*hum+3*eum^2*hum^2)*gdo*gum+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*gci*gqu+5*h*(8*n^4*etr^2*gdo*gum-32*n^3*(edo*hdo-etr*(hdo+hum)+eum*hum)*etr*gdo*gum+12*n^2*(3*edo^2*hdo^2-edo*(etr*(7*hdo+8*hum)-6*eum*hum)*hdo+4*etr^2*(hdo^2+2*hdo*hum+hum^2)-etr*eum*(6*hdo+7*hum)*hum+3*eum^2*hum^2)*gdo*gum+8*n*(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+edo^2*(3*gdo*(hdo+2*hum)*(5*hdo+6*hum)-gtr*hdo*(3*hdo+8*hum))*gum*hdo^2-2*edo*(2*etr*gdo*(5*hdo^3+18*hdo^2*hum+21*hdo*hum^2+8*hum^3)-eum*(3*gdo*(2*hdo^2+9*hdo*hum+8*hum^2)-gtr*hdo*(2*hdo+9*hum))*hum)*gum*hdo+8*etr^2*gdo*gum*(hdo^2+2*hdo*hum+hum^2)^2-4*etr*eum*gdo*gum*(2*hdo^3+9*hdo^2*hum+12*hdo*hum^2+5*hum^3)*hum-3*eum^2*(gdo*(gtr*hum-gum*(4*hdo+5*hum))+4*gtr*gum*hdo)*hum^3)*gci*gqu+40*n^4*(eci*hci+edo*hdo+equ*hqu-etr*(hci+hdo+hqu+hum)+eum*hum)*etr*gci*gdo*gqu*gum+20*n^3*(3*eci^2*hci^2+eci*(6*equ*hqu-etr*(7*hci+6*hqu))*hci-3*edo^2*hdo^2+edo*(etr*(7*hdo+8*hum)-6*eum*hum)*hdo+3*equ^2*hqu^2-equ*etr*(8*hci+7*hqu)*hqu+4*etr^2*(hci^2+2*hci*hqu-hdo^2-2*hdo*hum+hqu^2-hum^2)+etr*eum*(6*hdo+7*hum)*hum-3*eum^2*hum^2)*gci*gdo*gqu*gum-20*n^2*(eci^2*(3*gci*(gqu*(2*hci+hqu)-gtr*hqu)-gqu*gtr*hci)*gdo*gum*hci^2+3*eci*(equ*(gqu*(5*hci+3*hqu)-gtr*hqu)*hqu-etr*gqu*(3*hci^2+5*hci*hqu+2*hqu^2))*gci*gdo*gum*hci+(edo^2*(3*gdo*(2*hdo+3*hum)-gtr*hdo)*gqu*gum*hdo^2-3*edo*(etr*gdo*(3*hdo^2+7*hdo*hum+4*hum^2)-eum*(gdo*(3*hdo+5*hum)-gtr*hdo)*hum)*gqu*gum*hdo+equ^2*gdo*(3*gqu*(3*hci+2*hqu)-gtr*hqu)*gum*hqu^2-3*equ*etr*gdo*gqu*gum*(4*hci^2+7*hci*hqu+3*hqu^2)*hqu+(4*etr^2*gdo*gum*(hci^3+3*hci^2*hqu+3*hci*hqu^2+hdo^3+3*hdo^2*hum+3*hdo*hum^2+hqu^3+hum^3)-3*etr*eum*gdo*gum*(2*hdo^2+5*hdo*hum+3*hum^2)*hum-eum^2*(gdo*(gtr*hum-3*gum*(hdo+2*hum))+3*gtr*gum*hdo)*hum^2)*gqu)*gci)+5*n*(3*eci^2*(gci*(gqu*(5*hci+4*hqu)-4*gtr*hqu)-gqu*gtr*hci)*gdo*gum*hci^3+2*eci*(equ*(3*gqu*(8*hci^2+9*hci*hqu+2*hqu^2)-gtr*(9*hci+2*hqu)*hqu)*hqu-2*etr*gqu*(5*hci^3+12*hci^2*hqu+9*hci*hqu^2+2*hqu^3))*gci*gdo*gum*hci-(edo^2*(3*gdo*(hdo+2*hum)*(5*hdo+6*hum)-gtr*hdo*(3*hdo+8*hum))*gqu*gum*hdo^2-2*edo*(2*etr*gdo*(5*hdo^3+18*hdo^2*hum+21*hdo*hum^2+8*hum^3)-eum*(3*gdo*(2*hdo^2+9*hdo*hum+8*hum^2)-gtr*hdo*(2*hdo+9*hum))*hum)*gqu*gum*hdo-equ^2*gdo*(3*gqu*(2*hci+hqu)*(6*hci+5*hqu)-gtr*(8*hci+3*hqu)*hqu)*gum*hqu^2+4*equ*etr*gdo*gqu*gum*(8*hci^3+21*hci^2*hqu+18*hci*hqu^2+5*hqu^3)*hqu-(8*etr^2*gdo*gum*(hci^4+4*hci^3*hqu+6*hci^2*hqu^2+4*hci*hqu^3-hdo^4-4*hdo^3*hum-6*hdo^2*hum^2-4*hdo*hum^3+hqu^4-hum^4)+4*etr*eum*gdo*gum*(2*hdo^3+9*hdo^2*hum+12*hdo*hum^2+5*hum^3)*hum+3*eum^2*(gdo*(gtr*hum-gum*(4*hdo+5*hum))+4*gtr*gum*hdo)*hum^3)*gqu)*gci)-3*eci^2*(5*gci*(gqu*(hci+hqu)-gtr*hqu)-gqu*gtr*hci)*gdo*gum*hci^4-10*eci*(equ*(3*gqu*(hci+hqu)*(2*hci+hqu)-gtr*(3*hci+hqu)*hqu)*hqu-2*etr*gqu*(hci+hqu)*(hci^2+2*hci*hqu+hqu^2))*gci*gdo*gum*hci^2-(edo^2*(15*gdo*(hdo+hum)*(hdo+2*hum)^2-gtr*hdo*(3*hdo^2+15*hdo*hum+20*hum^2))*gqu*gum*hdo^2-10*edo*(2*etr*gdo*(hdo+hum)*(hdo+2*hum)*(hdo^2+2*hdo*hum+hum^2)-eum*(3*gdo*(hdo+hum)*(hdo+2*hum)-gtr*hdo*(hdo+3*hum))*hum^2)*gqu*gum*hdo+equ^2*gdo*(15*gqu*(hci+hqu)*(2*hci+hqu)^2-gtr*(20*hci^2+15*hci*hqu+3*hqu^2)*hqu)*gum*hqu^2-20*equ*etr*gdo*gqu*gum*(hci+hqu)*(2*hci+hqu)*(hci^2+2*hci*hqu+hqu^2)*hqu+(8*etr^2*gdo*gum*(hci^5+5*hci^4*hqu+10*hci^3*hqu^2+10*hci^2*hqu^3+5*hci*hqu^4+hdo^5+5*hdo^4*hum+10*hdo^3*hum^2+10*hdo^2*hum^3+5*hdo*hum^4+hqu^5+hum^5)-20*etr*eum*gdo*gum*(hdo+hum)*(hdo^2+2*hdo*hum+hum^2)*hum^2-3*eum^2*(gdo*(gtr*hum-5*gum*(hdo+hum))+5*gtr*gum*hdo)*hum^4)*gqu)*gci))</f>
        <v>181073.1669307595</v>
      </c>
      <c r="H26" s="15"/>
      <c r="J26" s="48"/>
      <c r="L26" s="42"/>
      <c r="N26" s="48"/>
      <c r="O26" s="45"/>
      <c r="P26" s="48"/>
    </row>
    <row r="27" spans="1:16" s="16" customFormat="1" ht="15.6" x14ac:dyDescent="0.35">
      <c r="A27" s="17"/>
      <c r="B27" s="15"/>
      <c r="D27" s="39" t="s">
        <v>50</v>
      </c>
      <c r="E27" s="48"/>
      <c r="F27" s="18"/>
      <c r="G27" s="10"/>
    </row>
    <row r="28" spans="1:16" x14ac:dyDescent="0.3">
      <c r="A28" s="163" t="s">
        <v>43</v>
      </c>
      <c r="B28" s="163"/>
      <c r="C28" s="163"/>
    </row>
    <row r="29" spans="1:16" ht="15" thickBot="1" x14ac:dyDescent="0.35">
      <c r="A29" s="42"/>
      <c r="B29" s="42"/>
    </row>
    <row r="30" spans="1:16" ht="15" thickBot="1" x14ac:dyDescent="0.35">
      <c r="A30" s="42" t="s">
        <v>63</v>
      </c>
      <c r="B30" s="77">
        <f>ULS!B40</f>
        <v>0</v>
      </c>
      <c r="C30" s="51" t="s">
        <v>47</v>
      </c>
      <c r="G30" s="46"/>
      <c r="H30" s="51"/>
      <c r="J30" s="56"/>
    </row>
    <row r="31" spans="1:16" x14ac:dyDescent="0.3">
      <c r="A31" s="42"/>
      <c r="B31" s="42"/>
    </row>
    <row r="32" spans="1:16" x14ac:dyDescent="0.3">
      <c r="A32" s="163" t="s">
        <v>69</v>
      </c>
      <c r="B32" s="163"/>
      <c r="C32" s="163"/>
      <c r="D32" s="46"/>
    </row>
    <row r="33" spans="1:6" x14ac:dyDescent="0.3">
      <c r="B33" s="49"/>
      <c r="F33" s="49"/>
    </row>
    <row r="34" spans="1:6" x14ac:dyDescent="0.3">
      <c r="A34" s="50" t="s">
        <v>44</v>
      </c>
      <c r="B34" s="8">
        <f>5*B30*C11^4/(384*kclt)</f>
        <v>0</v>
      </c>
      <c r="C34" s="48" t="s">
        <v>11</v>
      </c>
      <c r="D34" s="53">
        <f>B34/B37</f>
        <v>0</v>
      </c>
    </row>
    <row r="35" spans="1:6" x14ac:dyDescent="0.3">
      <c r="A35" s="50" t="s">
        <v>45</v>
      </c>
      <c r="B35" s="8">
        <f>B30*C11^2/8/F26</f>
        <v>0</v>
      </c>
      <c r="C35" s="48" t="s">
        <v>11</v>
      </c>
      <c r="D35" s="53">
        <f>B35/B37</f>
        <v>0</v>
      </c>
    </row>
    <row r="36" spans="1:6" x14ac:dyDescent="0.3">
      <c r="A36" s="50" t="s">
        <v>70</v>
      </c>
      <c r="B36" s="69">
        <f>SLS_inst!B36</f>
        <v>1.0329534477903923</v>
      </c>
      <c r="D36" s="53"/>
    </row>
    <row r="37" spans="1:6" x14ac:dyDescent="0.3">
      <c r="A37" s="50" t="s">
        <v>46</v>
      </c>
      <c r="B37" s="69">
        <f>B34+B35+B36</f>
        <v>1.0329534477903923</v>
      </c>
      <c r="C37" s="48" t="s">
        <v>11</v>
      </c>
    </row>
    <row r="38" spans="1:6" ht="15.6" x14ac:dyDescent="0.3">
      <c r="B38" s="55"/>
      <c r="C38" s="12" t="str">
        <f>IF(B37&gt;B40,"NÃO VERIFICA","OK")</f>
        <v>OK</v>
      </c>
      <c r="D38" s="78"/>
    </row>
    <row r="40" spans="1:6" x14ac:dyDescent="0.3">
      <c r="A40" s="50" t="s">
        <v>49</v>
      </c>
      <c r="B40" s="62">
        <f>C11/150</f>
        <v>20</v>
      </c>
      <c r="C40" s="50" t="s">
        <v>66</v>
      </c>
      <c r="E40" s="45"/>
    </row>
  </sheetData>
  <sheetProtection algorithmName="SHA-512" hashValue="xIuuLpTUqf/Uez1RrDhlQKJRR9ehQSl3sRVdawbue20QD7K8d5s0hyLp6+/7asw/LNLXbREleufuhts9PUlLiQ==" saltValue="yXnPIdhoWitI37/6f0pXAQ==" spinCount="100000" sheet="1" objects="1" scenarios="1"/>
  <mergeCells count="7">
    <mergeCell ref="A32:C32"/>
    <mergeCell ref="A2:C2"/>
    <mergeCell ref="E2:E3"/>
    <mergeCell ref="F2:F4"/>
    <mergeCell ref="G2:G4"/>
    <mergeCell ref="A17:C17"/>
    <mergeCell ref="A28:C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Normal="100" workbookViewId="0">
      <selection activeCell="G5" sqref="G5"/>
    </sheetView>
  </sheetViews>
  <sheetFormatPr defaultRowHeight="14.4" x14ac:dyDescent="0.3"/>
  <cols>
    <col min="1" max="1" width="22.109375" style="48" customWidth="1"/>
    <col min="2" max="2" width="22.88671875" style="48" customWidth="1"/>
    <col min="3" max="3" width="24.109375" style="48" customWidth="1"/>
    <col min="4" max="4" width="23.6640625" style="48" customWidth="1"/>
    <col min="5" max="5" width="16.5546875" style="48" customWidth="1"/>
    <col min="6" max="6" width="13.109375" style="48" customWidth="1"/>
    <col min="7" max="7" width="15.6640625" style="48" customWidth="1"/>
    <col min="8" max="8" width="10.6640625" style="48" customWidth="1"/>
    <col min="9" max="9" width="10.109375" style="48" customWidth="1"/>
    <col min="10" max="10" width="9.88671875" style="48" customWidth="1"/>
    <col min="11" max="11" width="10.5546875" style="48" customWidth="1"/>
    <col min="12" max="12" width="10" style="48" customWidth="1"/>
    <col min="13" max="13" width="9.5546875" style="48" customWidth="1"/>
    <col min="14" max="14" width="12" style="48" bestFit="1" customWidth="1"/>
    <col min="15" max="16384" width="8.88671875" style="48"/>
  </cols>
  <sheetData>
    <row r="1" spans="1:13" ht="16.2" customHeight="1" x14ac:dyDescent="0.3">
      <c r="I1" s="52"/>
      <c r="J1" s="52"/>
      <c r="K1" s="52"/>
    </row>
    <row r="2" spans="1:13" ht="17.25" customHeight="1" x14ac:dyDescent="0.3">
      <c r="A2" s="163" t="s">
        <v>3</v>
      </c>
      <c r="B2" s="163"/>
      <c r="C2" s="163"/>
      <c r="E2" s="159" t="s">
        <v>36</v>
      </c>
      <c r="F2" s="134" t="s">
        <v>105</v>
      </c>
      <c r="G2" s="134" t="s">
        <v>106</v>
      </c>
      <c r="I2" s="52"/>
      <c r="J2" s="52"/>
      <c r="K2" s="52"/>
      <c r="M2" s="52"/>
    </row>
    <row r="3" spans="1:13" ht="17.25" customHeight="1" x14ac:dyDescent="0.3">
      <c r="E3" s="159"/>
      <c r="F3" s="134"/>
      <c r="G3" s="134"/>
      <c r="I3" s="52"/>
      <c r="J3" s="52"/>
      <c r="K3" s="52"/>
      <c r="M3" s="52"/>
    </row>
    <row r="4" spans="1:13" ht="16.2" x14ac:dyDescent="0.3">
      <c r="A4" s="50"/>
      <c r="B4" s="50" t="s">
        <v>1</v>
      </c>
      <c r="C4" s="50" t="s">
        <v>0</v>
      </c>
      <c r="D4" s="50" t="s">
        <v>33</v>
      </c>
      <c r="E4" s="50" t="s">
        <v>34</v>
      </c>
      <c r="F4" s="134"/>
      <c r="G4" s="134"/>
      <c r="I4" s="52"/>
      <c r="J4" s="52"/>
      <c r="K4" s="52"/>
      <c r="M4" s="52"/>
    </row>
    <row r="5" spans="1:13" ht="14.4" customHeight="1" x14ac:dyDescent="0.3">
      <c r="A5" s="11" t="str">
        <f>ULS!A6</f>
        <v>Lamela 5</v>
      </c>
      <c r="B5" s="11">
        <f>ULS!B6</f>
        <v>35</v>
      </c>
      <c r="C5" s="11">
        <f>ULS!C6</f>
        <v>1000</v>
      </c>
      <c r="D5" s="11">
        <f>ULS!D6</f>
        <v>35000</v>
      </c>
      <c r="E5" s="11">
        <f>ULS!E6</f>
        <v>612500</v>
      </c>
      <c r="F5" s="13">
        <f>ULS!S6*5/6</f>
        <v>5729.166666666667</v>
      </c>
      <c r="G5" s="13">
        <f>ULS!T6*5/6</f>
        <v>359.375</v>
      </c>
      <c r="I5" s="52"/>
      <c r="J5" s="52"/>
      <c r="K5" s="52"/>
      <c r="M5" s="52"/>
    </row>
    <row r="6" spans="1:13" x14ac:dyDescent="0.3">
      <c r="A6" s="11" t="str">
        <f>ULS!A7</f>
        <v>Lamela 4</v>
      </c>
      <c r="B6" s="11">
        <f>ULS!B7</f>
        <v>35</v>
      </c>
      <c r="C6" s="11">
        <f>ULS!C7</f>
        <v>1000</v>
      </c>
      <c r="D6" s="11">
        <f>ULS!D7</f>
        <v>35000</v>
      </c>
      <c r="E6" s="11">
        <f>ULS!E7</f>
        <v>1837500</v>
      </c>
      <c r="F6" s="13">
        <f>ULS!S7*5/6</f>
        <v>93.434343434343432</v>
      </c>
      <c r="G6" s="13">
        <f>ULS!T7*5/6</f>
        <v>17.424242424242426</v>
      </c>
      <c r="I6" s="52"/>
      <c r="J6" s="52"/>
      <c r="K6" s="52"/>
      <c r="M6" s="52"/>
    </row>
    <row r="7" spans="1:13" x14ac:dyDescent="0.3">
      <c r="A7" s="11" t="str">
        <f>ULS!A8</f>
        <v>Lamela 3</v>
      </c>
      <c r="B7" s="11">
        <f>ULS!B8</f>
        <v>50</v>
      </c>
      <c r="C7" s="11">
        <f>ULS!C8</f>
        <v>1000</v>
      </c>
      <c r="D7" s="11">
        <f>ULS!D8</f>
        <v>50000</v>
      </c>
      <c r="E7" s="11">
        <f>ULS!E8</f>
        <v>4750000</v>
      </c>
      <c r="F7" s="13">
        <f>ULS!S8*5/6</f>
        <v>0.39697916666666666</v>
      </c>
      <c r="G7" s="13">
        <f>ULS!T8*5/6</f>
        <v>0.31375000000000003</v>
      </c>
      <c r="I7" s="52"/>
      <c r="J7" s="52"/>
      <c r="K7" s="52"/>
      <c r="M7" s="52"/>
    </row>
    <row r="8" spans="1:13" x14ac:dyDescent="0.3">
      <c r="A8" s="11" t="str">
        <f>ULS!A9</f>
        <v>Lamela 2</v>
      </c>
      <c r="B8" s="11">
        <f>ULS!B9</f>
        <v>35</v>
      </c>
      <c r="C8" s="11">
        <f>ULS!C9</f>
        <v>1000</v>
      </c>
      <c r="D8" s="11">
        <f>ULS!D9</f>
        <v>35000</v>
      </c>
      <c r="E8" s="11">
        <f>ULS!E9</f>
        <v>4812500</v>
      </c>
      <c r="F8" s="13">
        <f>ULS!S9*5/6</f>
        <v>93.434343434343432</v>
      </c>
      <c r="G8" s="13">
        <f>ULS!T9*5/6</f>
        <v>17.424242424242426</v>
      </c>
      <c r="I8" s="52"/>
      <c r="J8" s="52"/>
      <c r="K8" s="52"/>
      <c r="M8" s="52"/>
    </row>
    <row r="9" spans="1:13" x14ac:dyDescent="0.3">
      <c r="A9" s="11" t="str">
        <f>ULS!A10</f>
        <v>Lamela 1</v>
      </c>
      <c r="B9" s="11">
        <f>ULS!B10</f>
        <v>35</v>
      </c>
      <c r="C9" s="11">
        <f>ULS!C10</f>
        <v>1000</v>
      </c>
      <c r="D9" s="11">
        <f>ULS!D10</f>
        <v>35000</v>
      </c>
      <c r="E9" s="11">
        <f>ULS!E10</f>
        <v>6037500</v>
      </c>
      <c r="F9" s="13">
        <f>ULS!S10*5/6</f>
        <v>5729.166666666667</v>
      </c>
      <c r="G9" s="13">
        <f>ULS!T10*5/6</f>
        <v>359.375</v>
      </c>
      <c r="I9" s="52"/>
      <c r="J9" s="52"/>
      <c r="K9" s="52"/>
      <c r="M9" s="52"/>
    </row>
    <row r="10" spans="1:13" ht="15" thickBot="1" x14ac:dyDescent="0.35">
      <c r="I10" s="52"/>
      <c r="J10" s="52"/>
      <c r="K10" s="52"/>
      <c r="L10" s="52"/>
      <c r="M10" s="52"/>
    </row>
    <row r="11" spans="1:13" ht="15" thickBot="1" x14ac:dyDescent="0.35">
      <c r="B11" s="42" t="s">
        <v>17</v>
      </c>
      <c r="C11" s="122">
        <f>ULS!C12</f>
        <v>3000</v>
      </c>
      <c r="D11" s="48" t="s">
        <v>11</v>
      </c>
      <c r="E11" s="5"/>
      <c r="I11" s="52"/>
      <c r="J11" s="52"/>
      <c r="K11" s="52"/>
      <c r="L11" s="52"/>
      <c r="M11" s="52"/>
    </row>
    <row r="12" spans="1:13" x14ac:dyDescent="0.3">
      <c r="B12" s="42" t="s">
        <v>35</v>
      </c>
      <c r="C12" s="68">
        <f>SUM(B5:B9)</f>
        <v>190</v>
      </c>
      <c r="D12" s="48" t="s">
        <v>11</v>
      </c>
      <c r="I12" s="52"/>
      <c r="J12" s="52"/>
      <c r="K12" s="52"/>
    </row>
    <row r="13" spans="1:13" x14ac:dyDescent="0.3">
      <c r="B13" s="42" t="s">
        <v>20</v>
      </c>
      <c r="C13" s="6">
        <f>C5</f>
        <v>1000</v>
      </c>
      <c r="D13" s="48" t="s">
        <v>11</v>
      </c>
      <c r="I13" s="52"/>
      <c r="J13" s="52"/>
      <c r="K13" s="52"/>
    </row>
    <row r="14" spans="1:13" x14ac:dyDescent="0.3">
      <c r="A14" s="41"/>
      <c r="B14" s="42" t="s">
        <v>40</v>
      </c>
      <c r="C14" s="19">
        <f>(F5*E5+F6*E6+F7*E7+F8*E8+F9*E9)/(F5*B5*C5+F6*B6*C6+F7*B7*C7+F8*B8*C8+F9*B9*C9)</f>
        <v>95</v>
      </c>
      <c r="D14" s="48" t="s">
        <v>11</v>
      </c>
    </row>
    <row r="15" spans="1:13" x14ac:dyDescent="0.3">
      <c r="A15" s="26"/>
      <c r="B15" s="42"/>
      <c r="C15" s="42"/>
      <c r="D15" s="86"/>
    </row>
    <row r="16" spans="1:13" x14ac:dyDescent="0.3">
      <c r="B16" s="3"/>
      <c r="C16" s="3"/>
      <c r="D16" s="3"/>
    </row>
    <row r="17" spans="1:16" x14ac:dyDescent="0.3">
      <c r="A17" s="163" t="s">
        <v>4</v>
      </c>
      <c r="B17" s="163"/>
      <c r="C17" s="163"/>
      <c r="D17" s="3"/>
      <c r="E17" s="7"/>
    </row>
    <row r="18" spans="1:16" x14ac:dyDescent="0.3">
      <c r="A18" s="21"/>
      <c r="B18" s="21" t="s">
        <v>13</v>
      </c>
      <c r="C18" s="21" t="s">
        <v>10</v>
      </c>
      <c r="D18" s="21" t="s">
        <v>15</v>
      </c>
    </row>
    <row r="19" spans="1:16" x14ac:dyDescent="0.3">
      <c r="A19" s="21"/>
      <c r="B19" s="21" t="s">
        <v>14</v>
      </c>
      <c r="C19" s="49" t="s">
        <v>26</v>
      </c>
      <c r="D19" s="21" t="s">
        <v>16</v>
      </c>
    </row>
    <row r="20" spans="1:16" ht="16.2" x14ac:dyDescent="0.3">
      <c r="A20" s="49"/>
      <c r="B20" s="50" t="s">
        <v>12</v>
      </c>
      <c r="C20" s="50" t="s">
        <v>31</v>
      </c>
      <c r="D20" s="22" t="s">
        <v>32</v>
      </c>
      <c r="E20" s="22" t="s">
        <v>32</v>
      </c>
      <c r="G20" s="44"/>
    </row>
    <row r="21" spans="1:16" x14ac:dyDescent="0.3">
      <c r="A21" s="11" t="s">
        <v>5</v>
      </c>
      <c r="B21" s="13">
        <f>ABS(C14-B5/2)</f>
        <v>77.5</v>
      </c>
      <c r="C21" s="2">
        <f>C5*B5^3/12+D5*B21^2</f>
        <v>213791666.66666666</v>
      </c>
      <c r="D21" s="37">
        <f>C21*F5</f>
        <v>1224848090277.7778</v>
      </c>
    </row>
    <row r="22" spans="1:16" x14ac:dyDescent="0.3">
      <c r="A22" s="11" t="s">
        <v>6</v>
      </c>
      <c r="B22" s="13">
        <f>ABS(C14-B5-B6/2)</f>
        <v>42.5</v>
      </c>
      <c r="C22" s="2">
        <f>C6*B6^3/12+D6*B22^2</f>
        <v>66791666.666666664</v>
      </c>
      <c r="D22" s="37">
        <f>C22*F6</f>
        <v>6240635521.8855219</v>
      </c>
      <c r="G22" s="44"/>
    </row>
    <row r="23" spans="1:16" x14ac:dyDescent="0.3">
      <c r="A23" s="12" t="s">
        <v>7</v>
      </c>
      <c r="B23" s="14">
        <f>ABS(C14-B5-B6-B7/2)</f>
        <v>0</v>
      </c>
      <c r="C23" s="23">
        <f>C7*B7^3/12+D7*B23^2</f>
        <v>10416666.666666666</v>
      </c>
      <c r="D23" s="38">
        <f>C23*F7</f>
        <v>4135199.6527777775</v>
      </c>
      <c r="L23" s="26"/>
    </row>
    <row r="24" spans="1:16" x14ac:dyDescent="0.3">
      <c r="A24" s="11" t="s">
        <v>8</v>
      </c>
      <c r="B24" s="13">
        <f>ABS(C14-B5-B6-B7-B8/2)</f>
        <v>42.5</v>
      </c>
      <c r="C24" s="2">
        <f>C8*B8^3/12+D8*B24^2</f>
        <v>66791666.666666664</v>
      </c>
      <c r="D24" s="37">
        <f>C24*F8</f>
        <v>6240635521.8855219</v>
      </c>
      <c r="F24" s="42"/>
      <c r="H24" s="49"/>
      <c r="L24" s="42"/>
      <c r="O24" s="45"/>
    </row>
    <row r="25" spans="1:16" x14ac:dyDescent="0.3">
      <c r="A25" s="11" t="s">
        <v>9</v>
      </c>
      <c r="B25" s="13">
        <f>ABS(C14-B5-B6-B7-B8-B9/2)</f>
        <v>77.5</v>
      </c>
      <c r="C25" s="2">
        <f>C9*B9^3/12+D9*B25^2</f>
        <v>213791666.66666666</v>
      </c>
      <c r="D25" s="37">
        <f>C25*F9</f>
        <v>1224848090277.7778</v>
      </c>
      <c r="E25" s="49"/>
      <c r="F25" s="55" t="s">
        <v>48</v>
      </c>
      <c r="H25" s="42"/>
      <c r="L25" s="42"/>
      <c r="O25" s="45"/>
    </row>
    <row r="26" spans="1:16" s="16" customFormat="1" ht="15.6" x14ac:dyDescent="0.35">
      <c r="A26" s="17"/>
      <c r="B26" s="43"/>
      <c r="D26" s="20">
        <f>SUM(D21:D25)</f>
        <v>2462181586798.9795</v>
      </c>
      <c r="E26" s="39" t="s">
        <v>39</v>
      </c>
      <c r="F26" s="40">
        <f>60*gci*gdo*gqu*gtr*gum*kclt^2/(b*(8*h^5*etr^2*gci*gdo*gqu*gum-40*h^4*(n*etr-edo*hdo+etr*(hdo+hum)-eum*hum)*etr*gci*gdo*gqu*gum+20*h^3*(4*n^2*etr^2-8*n*(edo*hdo-etr*(hdo+hum)+eum*hum)*etr+3*edo^2*hdo^2-edo*(etr*(7*hdo+8*hum)-6*eum*hum)*hdo+4*etr^2*(hdo^2+2*hdo*hum+hum^2)-etr*eum*(6*hdo+7*hum)*hum+3*eum^2*hum^2)*gci*gdo*gqu*gum-20*h^2*(4*n^3*etr^2*gdo*gum-12*n^2*(edo*hdo-etr*(hdo+hum)+eum*hum)*etr*gdo*gum+3*n*(3*edo^2*hdo^2-edo*(etr*(7*hdo+8*hum)-6*eum*hum)*hdo+4*etr^2*(hdo^2+2*hdo*hum+hum^2)-etr*eum*(6*hdo+7*hum)*hum+3*eum^2*hum^2)*gdo*gum+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*gci*gqu+5*h*(8*n^4*etr^2*gdo*gum-32*n^3*(edo*hdo-etr*(hdo+hum)+eum*hum)*etr*gdo*gum+12*n^2*(3*edo^2*hdo^2-edo*(etr*(7*hdo+8*hum)-6*eum*hum)*hdo+4*etr^2*(hdo^2+2*hdo*hum+hum^2)-etr*eum*(6*hdo+7*hum)*hum+3*eum^2*hum^2)*gdo*gum+8*n*(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+edo^2*(3*gdo*(hdo+2*hum)*(5*hdo+6*hum)-gtr*hdo*(3*hdo+8*hum))*gum*hdo^2-2*edo*(2*etr*gdo*(5*hdo^3+18*hdo^2*hum+21*hdo*hum^2+8*hum^3)-eum*(3*gdo*(2*hdo^2+9*hdo*hum+8*hum^2)-gtr*hdo*(2*hdo+9*hum))*hum)*gum*hdo+8*etr^2*gdo*gum*(hdo^2+2*hdo*hum+hum^2)^2-4*etr*eum*gdo*gum*(2*hdo^3+9*hdo^2*hum+12*hdo*hum^2+5*hum^3)*hum-3*eum^2*(gdo*(gtr*hum-gum*(4*hdo+5*hum))+4*gtr*gum*hdo)*hum^3)*gci*gqu+40*n^4*(eci*hci+edo*hdo+equ*hqu-etr*(hci+hdo+hqu+hum)+eum*hum)*etr*gci*gdo*gqu*gum+20*n^3*(3*eci^2*hci^2+eci*(6*equ*hqu-etr*(7*hci+6*hqu))*hci-3*edo^2*hdo^2+edo*(etr*(7*hdo+8*hum)-6*eum*hum)*hdo+3*equ^2*hqu^2-equ*etr*(8*hci+7*hqu)*hqu+4*etr^2*(hci^2+2*hci*hqu-hdo^2-2*hdo*hum+hqu^2-hum^2)+etr*eum*(6*hdo+7*hum)*hum-3*eum^2*hum^2)*gci*gdo*gqu*gum-20*n^2*(eci^2*(3*gci*(gqu*(2*hci+hqu)-gtr*hqu)-gqu*gtr*hci)*gdo*gum*hci^2+3*eci*(equ*(gqu*(5*hci+3*hqu)-gtr*hqu)*hqu-etr*gqu*(3*hci^2+5*hci*hqu+2*hqu^2))*gci*gdo*gum*hci+(edo^2*(3*gdo*(2*hdo+3*hum)-gtr*hdo)*gqu*gum*hdo^2-3*edo*(etr*gdo*(3*hdo^2+7*hdo*hum+4*hum^2)-eum*(gdo*(3*hdo+5*hum)-gtr*hdo)*hum)*gqu*gum*hdo+equ^2*gdo*(3*gqu*(3*hci+2*hqu)-gtr*hqu)*gum*hqu^2-3*equ*etr*gdo*gqu*gum*(4*hci^2+7*hci*hqu+3*hqu^2)*hqu+(4*etr^2*gdo*gum*(hci^3+3*hci^2*hqu+3*hci*hqu^2+hdo^3+3*hdo^2*hum+3*hdo*hum^2+hqu^3+hum^3)-3*etr*eum*gdo*gum*(2*hdo^2+5*hdo*hum+3*hum^2)*hum-eum^2*(gdo*(gtr*hum-3*gum*(hdo+2*hum))+3*gtr*gum*hdo)*hum^2)*gqu)*gci)+5*n*(3*eci^2*(gci*(gqu*(5*hci+4*hqu)-4*gtr*hqu)-gqu*gtr*hci)*gdo*gum*hci^3+2*eci*(equ*(3*gqu*(8*hci^2+9*hci*hqu+2*hqu^2)-gtr*(9*hci+2*hqu)*hqu)*hqu-2*etr*gqu*(5*hci^3+12*hci^2*hqu+9*hci*hqu^2+2*hqu^3))*gci*gdo*gum*hci-(edo^2*(3*gdo*(hdo+2*hum)*(5*hdo+6*hum)-gtr*hdo*(3*hdo+8*hum))*gqu*gum*hdo^2-2*edo*(2*etr*gdo*(5*hdo^3+18*hdo^2*hum+21*hdo*hum^2+8*hum^3)-eum*(3*gdo*(2*hdo^2+9*hdo*hum+8*hum^2)-gtr*hdo*(2*hdo+9*hum))*hum)*gqu*gum*hdo-equ^2*gdo*(3*gqu*(2*hci+hqu)*(6*hci+5*hqu)-gtr*(8*hci+3*hqu)*hqu)*gum*hqu^2+4*equ*etr*gdo*gqu*gum*(8*hci^3+21*hci^2*hqu+18*hci*hqu^2+5*hqu^3)*hqu-(8*etr^2*gdo*gum*(hci^4+4*hci^3*hqu+6*hci^2*hqu^2+4*hci*hqu^3-hdo^4-4*hdo^3*hum-6*hdo^2*hum^2-4*hdo*hum^3+hqu^4-hum^4)+4*etr*eum*gdo*gum*(2*hdo^3+9*hdo^2*hum+12*hdo*hum^2+5*hum^3)*hum+3*eum^2*(gdo*(gtr*hum-gum*(4*hdo+5*hum))+4*gtr*gum*hdo)*hum^3)*gqu)*gci)-3*eci^2*(5*gci*(gqu*(hci+hqu)-gtr*hqu)-gqu*gtr*hci)*gdo*gum*hci^4-10*eci*(equ*(3*gqu*(hci+hqu)*(2*hci+hqu)-gtr*(3*hci+hqu)*hqu)*hqu-2*etr*gqu*(hci+hqu)*(hci^2+2*hci*hqu+hqu^2))*gci*gdo*gum*hci^2-(edo^2*(15*gdo*(hdo+hum)*(hdo+2*hum)^2-gtr*hdo*(3*hdo^2+15*hdo*hum+20*hum^2))*gqu*gum*hdo^2-10*edo*(2*etr*gdo*(hdo+hum)*(hdo+2*hum)*(hdo^2+2*hdo*hum+hum^2)-eum*(3*gdo*(hdo+hum)*(hdo+2*hum)-gtr*hdo*(hdo+3*hum))*hum^2)*gqu*gum*hdo+equ^2*gdo*(15*gqu*(hci+hqu)*(2*hci+hqu)^2-gtr*(20*hci^2+15*hci*hqu+3*hqu^2)*hqu)*gum*hqu^2-20*equ*etr*gdo*gqu*gum*(hci+hqu)*(2*hci+hqu)*(hci^2+2*hci*hqu+hqu^2)*hqu+(8*etr^2*gdo*gum*(hci^5+5*hci^4*hqu+10*hci^3*hqu^2+10*hci^2*hqu^3+5*hci*hqu^4+hdo^5+5*hdo^4*hum+10*hdo^3*hum^2+10*hdo^2*hum^3+5*hdo*hum^4+hqu^5+hum^5)-20*etr*eum*gdo*gum*(hdo+hum)*(hdo^2+2*hdo*hum+hum^2)*hum^2-3*eum^2*(gdo*(gtr*hum-5*gum*(hdo+hum))+5*gtr*gum*hdo)*hum^4)*gqu)*gci))</f>
        <v>150894.30577563655</v>
      </c>
      <c r="H26" s="15"/>
      <c r="J26" s="48"/>
      <c r="L26" s="42"/>
      <c r="N26" s="48"/>
      <c r="O26" s="45"/>
      <c r="P26" s="48"/>
    </row>
    <row r="27" spans="1:16" s="16" customFormat="1" ht="15.6" x14ac:dyDescent="0.35">
      <c r="A27" s="17"/>
      <c r="B27" s="15"/>
      <c r="D27" s="39" t="s">
        <v>50</v>
      </c>
      <c r="E27" s="48"/>
      <c r="F27" s="18"/>
      <c r="G27" s="10"/>
    </row>
  </sheetData>
  <sheetProtection algorithmName="SHA-512" hashValue="EksUlArS7WB3ra4icP5chItERzY1AJDXwH8zZFI/0uMjVvcqByvhPARjmLQlggvZ7Z4rnRxoTA2hCO5zzu8s5Q==" saltValue="mu/MAASwpb/0R0tNIRIGHA==" spinCount="100000" sheet="1" objects="1" scenarios="1"/>
  <mergeCells count="5">
    <mergeCell ref="A2:C2"/>
    <mergeCell ref="E2:E3"/>
    <mergeCell ref="F2:F4"/>
    <mergeCell ref="G2:G4"/>
    <mergeCell ref="A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76</vt:i4>
      </vt:variant>
    </vt:vector>
  </HeadingPairs>
  <TitlesOfParts>
    <vt:vector size="80" baseType="lpstr">
      <vt:lpstr>ULS</vt:lpstr>
      <vt:lpstr>SLS_inst</vt:lpstr>
      <vt:lpstr>SLS_fin</vt:lpstr>
      <vt:lpstr>Inst</vt:lpstr>
      <vt:lpstr>Inst!b</vt:lpstr>
      <vt:lpstr>SLS_fin!b</vt:lpstr>
      <vt:lpstr>SLS_inst!b</vt:lpstr>
      <vt:lpstr>ULS!b</vt:lpstr>
      <vt:lpstr>Inst!eci</vt:lpstr>
      <vt:lpstr>SLS_fin!eci</vt:lpstr>
      <vt:lpstr>SLS_inst!eci</vt:lpstr>
      <vt:lpstr>ULS!eci</vt:lpstr>
      <vt:lpstr>Inst!edo</vt:lpstr>
      <vt:lpstr>SLS_fin!edo</vt:lpstr>
      <vt:lpstr>SLS_inst!edo</vt:lpstr>
      <vt:lpstr>ULS!edo</vt:lpstr>
      <vt:lpstr>Inst!equ</vt:lpstr>
      <vt:lpstr>SLS_fin!equ</vt:lpstr>
      <vt:lpstr>SLS_inst!equ</vt:lpstr>
      <vt:lpstr>ULS!equ</vt:lpstr>
      <vt:lpstr>Inst!etr</vt:lpstr>
      <vt:lpstr>SLS_fin!etr</vt:lpstr>
      <vt:lpstr>SLS_inst!etr</vt:lpstr>
      <vt:lpstr>ULS!etr</vt:lpstr>
      <vt:lpstr>Inst!eum</vt:lpstr>
      <vt:lpstr>SLS_fin!eum</vt:lpstr>
      <vt:lpstr>SLS_inst!eum</vt:lpstr>
      <vt:lpstr>ULS!eum</vt:lpstr>
      <vt:lpstr>Inst!gci</vt:lpstr>
      <vt:lpstr>SLS_fin!gci</vt:lpstr>
      <vt:lpstr>SLS_inst!gci</vt:lpstr>
      <vt:lpstr>ULS!gci</vt:lpstr>
      <vt:lpstr>Inst!gdo</vt:lpstr>
      <vt:lpstr>SLS_fin!gdo</vt:lpstr>
      <vt:lpstr>SLS_inst!gdo</vt:lpstr>
      <vt:lpstr>ULS!gdo</vt:lpstr>
      <vt:lpstr>Inst!gqu</vt:lpstr>
      <vt:lpstr>SLS_fin!gqu</vt:lpstr>
      <vt:lpstr>SLS_inst!gqu</vt:lpstr>
      <vt:lpstr>ULS!gqu</vt:lpstr>
      <vt:lpstr>Inst!gtr</vt:lpstr>
      <vt:lpstr>SLS_fin!gtr</vt:lpstr>
      <vt:lpstr>SLS_inst!gtr</vt:lpstr>
      <vt:lpstr>ULS!gtr</vt:lpstr>
      <vt:lpstr>Inst!gum</vt:lpstr>
      <vt:lpstr>SLS_fin!gum</vt:lpstr>
      <vt:lpstr>SLS_inst!gum</vt:lpstr>
      <vt:lpstr>ULS!gum</vt:lpstr>
      <vt:lpstr>Inst!h</vt:lpstr>
      <vt:lpstr>SLS_fin!h</vt:lpstr>
      <vt:lpstr>SLS_inst!h</vt:lpstr>
      <vt:lpstr>ULS!h</vt:lpstr>
      <vt:lpstr>Inst!hci</vt:lpstr>
      <vt:lpstr>SLS_fin!hci</vt:lpstr>
      <vt:lpstr>SLS_inst!hci</vt:lpstr>
      <vt:lpstr>ULS!hci</vt:lpstr>
      <vt:lpstr>Inst!hdo</vt:lpstr>
      <vt:lpstr>SLS_fin!hdo</vt:lpstr>
      <vt:lpstr>SLS_inst!hdo</vt:lpstr>
      <vt:lpstr>ULS!hdo</vt:lpstr>
      <vt:lpstr>Inst!hqu</vt:lpstr>
      <vt:lpstr>SLS_fin!hqu</vt:lpstr>
      <vt:lpstr>SLS_inst!hqu</vt:lpstr>
      <vt:lpstr>ULS!hqu</vt:lpstr>
      <vt:lpstr>Inst!htr</vt:lpstr>
      <vt:lpstr>SLS_fin!htr</vt:lpstr>
      <vt:lpstr>SLS_inst!htr</vt:lpstr>
      <vt:lpstr>ULS!htr</vt:lpstr>
      <vt:lpstr>Inst!hum</vt:lpstr>
      <vt:lpstr>SLS_fin!hum</vt:lpstr>
      <vt:lpstr>SLS_inst!hum</vt:lpstr>
      <vt:lpstr>ULS!hum</vt:lpstr>
      <vt:lpstr>Inst!kclt</vt:lpstr>
      <vt:lpstr>SLS_fin!kclt</vt:lpstr>
      <vt:lpstr>SLS_inst!kclt</vt:lpstr>
      <vt:lpstr>ULS!kclt</vt:lpstr>
      <vt:lpstr>Inst!n</vt:lpstr>
      <vt:lpstr>SLS_fin!n</vt:lpstr>
      <vt:lpstr>SLS_inst!n</vt:lpstr>
      <vt:lpstr>ULS!n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Coimbra</dc:creator>
  <cp:lastModifiedBy>Pedro</cp:lastModifiedBy>
  <dcterms:created xsi:type="dcterms:W3CDTF">2012-03-27T21:22:08Z</dcterms:created>
  <dcterms:modified xsi:type="dcterms:W3CDTF">2020-11-11T10:20:43Z</dcterms:modified>
</cp:coreProperties>
</file>