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deira\Documents\Doutoramento\App\Soft\"/>
    </mc:Choice>
  </mc:AlternateContent>
  <bookViews>
    <workbookView xWindow="240" yWindow="132" windowWidth="15120" windowHeight="4956" tabRatio="791"/>
  </bookViews>
  <sheets>
    <sheet name="ULS" sheetId="3" r:id="rId1"/>
    <sheet name="SLS_inst" sheetId="29" r:id="rId2"/>
    <sheet name="SLS_fin" sheetId="32" r:id="rId3"/>
  </sheets>
  <definedNames>
    <definedName name="b" localSheetId="2">SLS_fin!$C$13</definedName>
    <definedName name="b" localSheetId="1">SLS_inst!$C$13</definedName>
    <definedName name="b" localSheetId="0">ULS!$C$14</definedName>
    <definedName name="b">#REF!</definedName>
    <definedName name="classe" localSheetId="2">#REF!</definedName>
    <definedName name="classe" localSheetId="1">#REF!</definedName>
    <definedName name="classe" localSheetId="0">#REF!</definedName>
    <definedName name="classe">#REF!</definedName>
    <definedName name="eci" localSheetId="2">SLS_fin!$F$5</definedName>
    <definedName name="eci" localSheetId="1">SLS_inst!$F$5</definedName>
    <definedName name="eci" localSheetId="0">ULS!$M$6</definedName>
    <definedName name="eci">#REF!</definedName>
    <definedName name="edo" localSheetId="2">SLS_fin!$F$8</definedName>
    <definedName name="edo" localSheetId="1">SLS_inst!$F$8</definedName>
    <definedName name="edo" localSheetId="0">ULS!$M$9</definedName>
    <definedName name="edo">#REF!</definedName>
    <definedName name="equ" localSheetId="2">SLS_fin!$F$6</definedName>
    <definedName name="equ" localSheetId="1">SLS_inst!$F$6</definedName>
    <definedName name="equ" localSheetId="0">ULS!$M$7</definedName>
    <definedName name="equ">#REF!</definedName>
    <definedName name="etr" localSheetId="2">SLS_fin!$F$7</definedName>
    <definedName name="etr" localSheetId="1">SLS_inst!$F$7</definedName>
    <definedName name="etr" localSheetId="0">ULS!$M$8</definedName>
    <definedName name="etr">#REF!</definedName>
    <definedName name="eum" localSheetId="2">SLS_fin!$F$9</definedName>
    <definedName name="eum" localSheetId="1">SLS_inst!$F$9</definedName>
    <definedName name="eum" localSheetId="0">ULS!$M$10</definedName>
    <definedName name="eum">#REF!</definedName>
    <definedName name="gci" localSheetId="2">SLS_fin!$G$5</definedName>
    <definedName name="gci" localSheetId="1">SLS_inst!$G$5</definedName>
    <definedName name="gci" localSheetId="0">ULS!$N$6</definedName>
    <definedName name="gci">#REF!</definedName>
    <definedName name="gdo" localSheetId="2">SLS_fin!$G$8</definedName>
    <definedName name="gdo" localSheetId="1">SLS_inst!$G$8</definedName>
    <definedName name="gdo" localSheetId="0">ULS!$N$9</definedName>
    <definedName name="gdo">#REF!</definedName>
    <definedName name="gqu" localSheetId="2">SLS_fin!$G$6</definedName>
    <definedName name="gqu" localSheetId="1">SLS_inst!$G$6</definedName>
    <definedName name="gqu" localSheetId="0">ULS!$N$7</definedName>
    <definedName name="gqu">#REF!</definedName>
    <definedName name="gtr" localSheetId="2">SLS_fin!$G$7</definedName>
    <definedName name="gtr" localSheetId="1">SLS_inst!$G$7</definedName>
    <definedName name="gtr" localSheetId="0">ULS!$N$8</definedName>
    <definedName name="gtr">#REF!</definedName>
    <definedName name="gum" localSheetId="2">SLS_fin!$G$9</definedName>
    <definedName name="gum" localSheetId="1">SLS_inst!$G$9</definedName>
    <definedName name="gum" localSheetId="0">ULS!$N$10</definedName>
    <definedName name="gum">#REF!</definedName>
    <definedName name="h" localSheetId="2">SLS_fin!$C$12</definedName>
    <definedName name="h" localSheetId="1">SLS_inst!$C$12</definedName>
    <definedName name="h" localSheetId="0">ULS!$C$13</definedName>
    <definedName name="h">#REF!</definedName>
    <definedName name="hci" localSheetId="2">SLS_fin!$B$5</definedName>
    <definedName name="hci" localSheetId="1">SLS_inst!$B$5</definedName>
    <definedName name="hci" localSheetId="0">ULS!$B$6</definedName>
    <definedName name="hci">#REF!</definedName>
    <definedName name="hdo" localSheetId="2">SLS_fin!$B$8</definedName>
    <definedName name="hdo" localSheetId="1">SLS_inst!$B$8</definedName>
    <definedName name="hdo" localSheetId="0">ULS!$B$9</definedName>
    <definedName name="hdo">#REF!</definedName>
    <definedName name="hqu" localSheetId="2">SLS_fin!$B$6</definedName>
    <definedName name="hqu" localSheetId="1">SLS_inst!$B$6</definedName>
    <definedName name="hqu" localSheetId="0">ULS!$B$7</definedName>
    <definedName name="hqu">#REF!</definedName>
    <definedName name="htr" localSheetId="2">SLS_fin!$B$7</definedName>
    <definedName name="htr" localSheetId="1">SLS_inst!$B$7</definedName>
    <definedName name="htr" localSheetId="0">ULS!$B$8</definedName>
    <definedName name="htr">#REF!</definedName>
    <definedName name="hum" localSheetId="2">SLS_fin!$B$9</definedName>
    <definedName name="hum" localSheetId="1">SLS_inst!$B$9</definedName>
    <definedName name="hum" localSheetId="0">ULS!$B$10</definedName>
    <definedName name="hum">#REF!</definedName>
    <definedName name="kclt" localSheetId="2">SLS_fin!$D$26</definedName>
    <definedName name="kclt" localSheetId="1">SLS_inst!$D$26</definedName>
    <definedName name="kclt" localSheetId="0">ULS!$D$26</definedName>
    <definedName name="kclt">#REF!</definedName>
    <definedName name="material" localSheetId="2">#REF!</definedName>
    <definedName name="material" localSheetId="1">#REF!</definedName>
    <definedName name="material" localSheetId="0">#REF!</definedName>
    <definedName name="material">#REF!</definedName>
    <definedName name="n" localSheetId="2">SLS_fin!$C$14</definedName>
    <definedName name="n" localSheetId="1">SLS_inst!$C$14</definedName>
    <definedName name="n" localSheetId="0">ULS!$C$15</definedName>
    <definedName name="n">#REF!</definedName>
    <definedName name="neve" localSheetId="2">#REF!</definedName>
    <definedName name="neve" localSheetId="1">#REF!</definedName>
    <definedName name="neve" localSheetId="0">#REF!</definedName>
    <definedName name="neve">#REF!</definedName>
    <definedName name="orientação" localSheetId="2">#REF!</definedName>
    <definedName name="orientação" localSheetId="1">#REF!</definedName>
    <definedName name="orientação" localSheetId="0">#REF!</definedName>
    <definedName name="orientação">#REF!</definedName>
    <definedName name="sobrecarga" localSheetId="2">#REF!</definedName>
    <definedName name="sobrecarga" localSheetId="1">#REF!</definedName>
    <definedName name="sobrecarga" localSheetId="0">#REF!</definedName>
    <definedName name="sobrecarga">#REF!</definedName>
    <definedName name="sobrecargas" localSheetId="2">#REF!</definedName>
    <definedName name="sobrecargas" localSheetId="1">#REF!</definedName>
    <definedName name="sobrecargas" localSheetId="0">#REF!</definedName>
    <definedName name="sobrecargas">#REF!</definedName>
  </definedNames>
  <calcPr calcId="152511"/>
</workbook>
</file>

<file path=xl/calcChain.xml><?xml version="1.0" encoding="utf-8"?>
<calcChain xmlns="http://schemas.openxmlformats.org/spreadsheetml/2006/main">
  <c r="T10" i="3" l="1"/>
  <c r="T9" i="3"/>
  <c r="T8" i="3"/>
  <c r="T7" i="3"/>
  <c r="T6" i="3"/>
  <c r="S10" i="3"/>
  <c r="S9" i="3"/>
  <c r="S8" i="3"/>
  <c r="S7" i="3"/>
  <c r="S6" i="3"/>
  <c r="B7" i="3" l="1"/>
  <c r="G6" i="3" l="1"/>
  <c r="C11" i="32" l="1"/>
  <c r="C11" i="29"/>
  <c r="L9" i="3" l="1"/>
  <c r="K9" i="3"/>
  <c r="B9" i="3" l="1"/>
  <c r="B8" i="29" s="1"/>
  <c r="B40" i="32"/>
  <c r="B98" i="3" s="1"/>
  <c r="R7" i="3"/>
  <c r="G7" i="32"/>
  <c r="G6" i="32"/>
  <c r="F7" i="32"/>
  <c r="F6" i="32"/>
  <c r="C9" i="32"/>
  <c r="A9" i="32"/>
  <c r="C8" i="32"/>
  <c r="A8" i="32"/>
  <c r="C7" i="32"/>
  <c r="B7" i="32"/>
  <c r="A7" i="32"/>
  <c r="C6" i="32"/>
  <c r="A6" i="32"/>
  <c r="C5" i="32"/>
  <c r="C13" i="32" s="1"/>
  <c r="B5" i="32"/>
  <c r="A5" i="32"/>
  <c r="B39" i="29"/>
  <c r="B95" i="3" s="1"/>
  <c r="F6" i="29"/>
  <c r="G6" i="29"/>
  <c r="F7" i="29"/>
  <c r="G7" i="29"/>
  <c r="F8" i="29"/>
  <c r="N7" i="3"/>
  <c r="N8" i="3"/>
  <c r="M7" i="3"/>
  <c r="M8" i="3"/>
  <c r="A6" i="29"/>
  <c r="C6" i="29"/>
  <c r="A7" i="29"/>
  <c r="B7" i="29"/>
  <c r="C7" i="29"/>
  <c r="A8" i="29"/>
  <c r="C8" i="29"/>
  <c r="A9" i="29"/>
  <c r="C9" i="29"/>
  <c r="B5" i="29"/>
  <c r="C5" i="29"/>
  <c r="A5" i="29"/>
  <c r="B10" i="3"/>
  <c r="B9" i="29" s="1"/>
  <c r="B6" i="32" l="1"/>
  <c r="B9" i="32"/>
  <c r="B8" i="32"/>
  <c r="B6" i="29"/>
  <c r="C12" i="32" l="1"/>
  <c r="R8" i="3"/>
  <c r="P10" i="3"/>
  <c r="P9" i="3"/>
  <c r="R9" i="3" s="1"/>
  <c r="O10" i="3"/>
  <c r="Q6" i="3"/>
  <c r="Q10" i="3" s="1"/>
  <c r="L6" i="3"/>
  <c r="L10" i="3" s="1"/>
  <c r="K6" i="3"/>
  <c r="K10" i="3" s="1"/>
  <c r="J10" i="3"/>
  <c r="J9" i="3"/>
  <c r="F5" i="32" l="1"/>
  <c r="F5" i="29"/>
  <c r="G5" i="32"/>
  <c r="G5" i="29"/>
  <c r="M9" i="3"/>
  <c r="F8" i="32"/>
  <c r="G8" i="32"/>
  <c r="G8" i="29"/>
  <c r="M10" i="3"/>
  <c r="M6" i="3"/>
  <c r="N6" i="3"/>
  <c r="N9" i="3"/>
  <c r="C13" i="29"/>
  <c r="G9" i="32" l="1"/>
  <c r="G9" i="29"/>
  <c r="N10" i="3"/>
  <c r="F9" i="32"/>
  <c r="F9" i="29"/>
  <c r="C12" i="29"/>
  <c r="P72" i="3"/>
  <c r="D70" i="3"/>
  <c r="D67" i="3"/>
  <c r="D64" i="3"/>
  <c r="D61" i="3"/>
  <c r="D58" i="3"/>
  <c r="B54" i="3"/>
  <c r="D52" i="3"/>
  <c r="D50" i="3"/>
  <c r="D48" i="3"/>
  <c r="D46" i="3"/>
  <c r="D44" i="3"/>
  <c r="C14" i="3"/>
  <c r="B52" i="3"/>
  <c r="B51" i="3" s="1"/>
  <c r="E8" i="3"/>
  <c r="D8" i="3"/>
  <c r="E7" i="3"/>
  <c r="D7" i="3"/>
  <c r="E6" i="3"/>
  <c r="D6" i="3"/>
  <c r="D7" i="29" l="1"/>
  <c r="D7" i="32"/>
  <c r="E5" i="29"/>
  <c r="E5" i="32"/>
  <c r="D5" i="29"/>
  <c r="D5" i="32"/>
  <c r="E7" i="29"/>
  <c r="E7" i="32"/>
  <c r="E6" i="29"/>
  <c r="E6" i="32"/>
  <c r="D6" i="29"/>
  <c r="D6" i="32"/>
  <c r="B50" i="3"/>
  <c r="B49" i="3" s="1"/>
  <c r="D10" i="3"/>
  <c r="B48" i="3"/>
  <c r="B47" i="3" s="1"/>
  <c r="B44" i="3"/>
  <c r="B43" i="3" s="1"/>
  <c r="P70" i="3"/>
  <c r="P69" i="3" s="1"/>
  <c r="P67" i="3" s="1"/>
  <c r="P66" i="3" s="1"/>
  <c r="P64" i="3" s="1"/>
  <c r="P63" i="3" s="1"/>
  <c r="P61" i="3" s="1"/>
  <c r="P60" i="3" s="1"/>
  <c r="P58" i="3" s="1"/>
  <c r="D9" i="3"/>
  <c r="B34" i="3" s="1"/>
  <c r="E10" i="3"/>
  <c r="E9" i="3"/>
  <c r="C13" i="3"/>
  <c r="B46" i="3"/>
  <c r="B45" i="3" s="1"/>
  <c r="B38" i="3" l="1"/>
  <c r="B30" i="32" s="1"/>
  <c r="B37" i="3"/>
  <c r="B30" i="29" s="1"/>
  <c r="D8" i="29"/>
  <c r="D8" i="32"/>
  <c r="D9" i="29"/>
  <c r="D9" i="32"/>
  <c r="E8" i="29"/>
  <c r="E8" i="32"/>
  <c r="E9" i="29"/>
  <c r="E9" i="32"/>
  <c r="B36" i="3"/>
  <c r="B35" i="3"/>
  <c r="C15" i="3"/>
  <c r="B25" i="3" s="1"/>
  <c r="C25" i="3" s="1"/>
  <c r="D25" i="3" s="1"/>
  <c r="C14" i="29" l="1"/>
  <c r="B25" i="29" s="1"/>
  <c r="C25" i="29" s="1"/>
  <c r="D25" i="29" s="1"/>
  <c r="C14" i="32"/>
  <c r="B22" i="32" s="1"/>
  <c r="C22" i="32" s="1"/>
  <c r="D22" i="32" s="1"/>
  <c r="Q62" i="3"/>
  <c r="C65" i="3"/>
  <c r="D83" i="3" s="1"/>
  <c r="C59" i="3"/>
  <c r="F77" i="3" s="1"/>
  <c r="Q59" i="3"/>
  <c r="C82" i="3"/>
  <c r="P62" i="3"/>
  <c r="P68" i="3"/>
  <c r="P65" i="3"/>
  <c r="C71" i="3"/>
  <c r="B89" i="3" s="1"/>
  <c r="B21" i="3"/>
  <c r="C21" i="3" s="1"/>
  <c r="D21" i="3" s="1"/>
  <c r="F79" i="3"/>
  <c r="C58" i="3"/>
  <c r="F76" i="3" s="1"/>
  <c r="C72" i="3"/>
  <c r="B90" i="3" s="1"/>
  <c r="C66" i="3"/>
  <c r="D84" i="3" s="1"/>
  <c r="C63" i="3"/>
  <c r="E81" i="3" s="1"/>
  <c r="Q65" i="3"/>
  <c r="B82" i="3"/>
  <c r="C61" i="3"/>
  <c r="E79" i="3" s="1"/>
  <c r="C68" i="3"/>
  <c r="C64" i="3"/>
  <c r="D82" i="3" s="1"/>
  <c r="C69" i="3"/>
  <c r="C87" i="3" s="1"/>
  <c r="C60" i="3"/>
  <c r="F78" i="3" s="1"/>
  <c r="C70" i="3"/>
  <c r="B88" i="3" s="1"/>
  <c r="B85" i="3"/>
  <c r="Q68" i="3"/>
  <c r="B23" i="3"/>
  <c r="C23" i="3" s="1"/>
  <c r="D23" i="3" s="1"/>
  <c r="C67" i="3"/>
  <c r="C85" i="3" s="1"/>
  <c r="B22" i="3"/>
  <c r="C22" i="3" s="1"/>
  <c r="D22" i="3" s="1"/>
  <c r="P71" i="3"/>
  <c r="Q71" i="3"/>
  <c r="P59" i="3"/>
  <c r="B24" i="3"/>
  <c r="C24" i="3" s="1"/>
  <c r="D24" i="3" s="1"/>
  <c r="C62" i="3"/>
  <c r="E80" i="3" s="1"/>
  <c r="B21" i="29" l="1"/>
  <c r="C21" i="29" s="1"/>
  <c r="D21" i="29" s="1"/>
  <c r="B24" i="29"/>
  <c r="C24" i="29" s="1"/>
  <c r="D24" i="29" s="1"/>
  <c r="B21" i="32"/>
  <c r="C21" i="32" s="1"/>
  <c r="D21" i="32" s="1"/>
  <c r="B24" i="32"/>
  <c r="C24" i="32" s="1"/>
  <c r="D24" i="32" s="1"/>
  <c r="B25" i="32"/>
  <c r="C25" i="32" s="1"/>
  <c r="D25" i="32" s="1"/>
  <c r="B23" i="32"/>
  <c r="C23" i="32" s="1"/>
  <c r="D23" i="32" s="1"/>
  <c r="B22" i="29"/>
  <c r="C22" i="29" s="1"/>
  <c r="D22" i="29" s="1"/>
  <c r="B23" i="29"/>
  <c r="C23" i="29" s="1"/>
  <c r="D23" i="29" s="1"/>
  <c r="C86" i="3"/>
  <c r="D26" i="3"/>
  <c r="D26" i="29" l="1"/>
  <c r="F26" i="29" s="1"/>
  <c r="B35" i="29" s="1"/>
  <c r="D26" i="32"/>
  <c r="B34" i="32" s="1"/>
  <c r="B65" i="3"/>
  <c r="E65" i="3" s="1"/>
  <c r="C49" i="3"/>
  <c r="E49" i="3" s="1"/>
  <c r="B67" i="3"/>
  <c r="E67" i="3" s="1"/>
  <c r="C47" i="3"/>
  <c r="E47" i="3" s="1"/>
  <c r="C50" i="3"/>
  <c r="E50" i="3" s="1"/>
  <c r="B63" i="3"/>
  <c r="E63" i="3" s="1"/>
  <c r="B64" i="3"/>
  <c r="E64" i="3" s="1"/>
  <c r="B70" i="3"/>
  <c r="E70" i="3" s="1"/>
  <c r="F26" i="3"/>
  <c r="B61" i="3"/>
  <c r="E61" i="3" s="1"/>
  <c r="C46" i="3"/>
  <c r="E46" i="3" s="1"/>
  <c r="B69" i="3"/>
  <c r="E69" i="3" s="1"/>
  <c r="B60" i="3"/>
  <c r="E60" i="3" s="1"/>
  <c r="C45" i="3"/>
  <c r="E45" i="3" s="1"/>
  <c r="B71" i="3"/>
  <c r="E71" i="3" s="1"/>
  <c r="B58" i="3"/>
  <c r="E58" i="3" s="1"/>
  <c r="C44" i="3"/>
  <c r="E44" i="3" s="1"/>
  <c r="B72" i="3"/>
  <c r="E72" i="3" s="1"/>
  <c r="B59" i="3"/>
  <c r="E59" i="3" s="1"/>
  <c r="C48" i="3"/>
  <c r="B68" i="3"/>
  <c r="E68" i="3" s="1"/>
  <c r="B66" i="3"/>
  <c r="E66" i="3" s="1"/>
  <c r="C51" i="3"/>
  <c r="E51" i="3" s="1"/>
  <c r="B62" i="3"/>
  <c r="E62" i="3" s="1"/>
  <c r="C53" i="3"/>
  <c r="E53" i="3" s="1"/>
  <c r="C52" i="3"/>
  <c r="B34" i="29" l="1"/>
  <c r="B36" i="29" s="1"/>
  <c r="D35" i="29" s="1"/>
  <c r="F26" i="32"/>
  <c r="B35" i="32" s="1"/>
  <c r="E54" i="3"/>
  <c r="F67" i="3"/>
  <c r="F52" i="3"/>
  <c r="E48" i="3"/>
  <c r="F64" i="3"/>
  <c r="D104" i="3" s="1"/>
  <c r="F44" i="3"/>
  <c r="D102" i="3" s="1"/>
  <c r="E52" i="3"/>
  <c r="F61" i="3"/>
  <c r="D103" i="3" s="1"/>
  <c r="E73" i="3"/>
  <c r="C37" i="29" l="1"/>
  <c r="B94" i="3"/>
  <c r="D95" i="3" s="1"/>
  <c r="D105" i="3" s="1"/>
  <c r="B36" i="32"/>
  <c r="B37" i="32" s="1"/>
  <c r="D34" i="32" s="1"/>
  <c r="D34" i="29"/>
  <c r="D35" i="32" l="1"/>
  <c r="C38" i="32"/>
  <c r="B97" i="3"/>
  <c r="D98" i="3" s="1"/>
  <c r="D106" i="3" s="1"/>
</calcChain>
</file>

<file path=xl/sharedStrings.xml><?xml version="1.0" encoding="utf-8"?>
<sst xmlns="http://schemas.openxmlformats.org/spreadsheetml/2006/main" count="215" uniqueCount="92">
  <si>
    <t>b (mm)</t>
  </si>
  <si>
    <t>h (mm)</t>
  </si>
  <si>
    <t>y1 (mm)</t>
  </si>
  <si>
    <t>Dimensões e Propriedades da secção</t>
  </si>
  <si>
    <t>Inércia e Propriedades de Rigidez</t>
  </si>
  <si>
    <t>Tensões Normais e Tangenciais</t>
  </si>
  <si>
    <t>Lamela 5</t>
  </si>
  <si>
    <t>Lamela 4</t>
  </si>
  <si>
    <t>Lamela 3</t>
  </si>
  <si>
    <t>Lamela 2</t>
  </si>
  <si>
    <t>Lamela 1</t>
  </si>
  <si>
    <t>Inércia de cada lamela em</t>
  </si>
  <si>
    <t>mm</t>
  </si>
  <si>
    <t>e (mm)</t>
  </si>
  <si>
    <t>distancia do cg da</t>
  </si>
  <si>
    <t xml:space="preserve">lamela ao en </t>
  </si>
  <si>
    <t>Rigidez de cada lamela em</t>
  </si>
  <si>
    <t>relação ao e.n da secção</t>
  </si>
  <si>
    <t>L</t>
  </si>
  <si>
    <t>N.mm</t>
  </si>
  <si>
    <t>N</t>
  </si>
  <si>
    <t>b</t>
  </si>
  <si>
    <t>S1</t>
  </si>
  <si>
    <t>S2</t>
  </si>
  <si>
    <t>S3</t>
  </si>
  <si>
    <t>S4</t>
  </si>
  <si>
    <t>S5</t>
  </si>
  <si>
    <t>relação ao eixo neutro</t>
  </si>
  <si>
    <t>η (%)</t>
  </si>
  <si>
    <t>Segurança</t>
  </si>
  <si>
    <t>Integrais</t>
  </si>
  <si>
    <t>altura desde a base (mm)</t>
  </si>
  <si>
    <r>
      <t>I (mm</t>
    </r>
    <r>
      <rPr>
        <b/>
        <vertAlign val="super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>)</t>
    </r>
  </si>
  <si>
    <r>
      <t>E.I (N.mm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</si>
  <si>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A (mm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</si>
  <si>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S (mm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</si>
  <si>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h</t>
  </si>
  <si>
    <t>M.s estáticos em relação ao topo</t>
  </si>
  <si>
    <t>Deformações</t>
  </si>
  <si>
    <t>η M (%)</t>
  </si>
  <si>
    <t>η V (%)</t>
  </si>
  <si>
    <r>
      <t>GA</t>
    </r>
    <r>
      <rPr>
        <vertAlign val="subscript"/>
        <sz val="11"/>
        <color theme="1"/>
        <rFont val="Calibri"/>
        <family val="2"/>
        <scheme val="minor"/>
      </rPr>
      <t>CLT</t>
    </r>
  </si>
  <si>
    <t>posição do e.n em relação ao topo da secção:      n</t>
  </si>
  <si>
    <r>
      <t>fm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</si>
  <si>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fv fr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</si>
  <si>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Esforços</t>
  </si>
  <si>
    <t>dM</t>
  </si>
  <si>
    <t>dV</t>
  </si>
  <si>
    <t>dT</t>
  </si>
  <si>
    <t>N/mm</t>
  </si>
  <si>
    <t>def máx</t>
  </si>
  <si>
    <r>
      <t>EI</t>
    </r>
    <r>
      <rPr>
        <vertAlign val="subscript"/>
        <sz val="11"/>
        <color theme="1"/>
        <rFont val="Calibri"/>
        <family val="2"/>
        <scheme val="minor"/>
      </rPr>
      <t>CLT</t>
    </r>
    <r>
      <rPr>
        <sz val="11"/>
        <color theme="1"/>
        <rFont val="Calibri"/>
        <family val="2"/>
        <scheme val="minor"/>
      </rPr>
      <t>ULS</t>
    </r>
  </si>
  <si>
    <t>kmod</t>
  </si>
  <si>
    <t>kdef</t>
  </si>
  <si>
    <r>
      <t>Emean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</si>
  <si>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Gmean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</si>
  <si>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rPr>
        <b/>
        <sz val="11"/>
        <color theme="1"/>
        <rFont val="Calibri"/>
        <family val="2"/>
      </rPr>
      <t>Ψ</t>
    </r>
    <r>
      <rPr>
        <b/>
        <sz val="7.7"/>
        <color theme="1"/>
        <rFont val="Calibri"/>
        <family val="2"/>
      </rPr>
      <t>2</t>
    </r>
  </si>
  <si>
    <r>
      <t>fm,d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</si>
  <si>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fv,d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</si>
  <si>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ϒm</t>
  </si>
  <si>
    <t>L/300</t>
  </si>
  <si>
    <t>-</t>
  </si>
  <si>
    <t>Deformações Instantaneas</t>
  </si>
  <si>
    <t>pSLSinst</t>
  </si>
  <si>
    <t>pSLSfin</t>
  </si>
  <si>
    <r>
      <t>Emean,fin,ULS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</si>
  <si>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Gmean,fin,ULS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</si>
  <si>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L/150</t>
  </si>
  <si>
    <r>
      <t>Emean,fin,SLS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</si>
  <si>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Gmean,fin,SLS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</si>
  <si>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Deformações finais</t>
  </si>
  <si>
    <t>dT inst</t>
  </si>
  <si>
    <t>def inst máx</t>
  </si>
  <si>
    <t>dT fin</t>
  </si>
  <si>
    <t>def fin máx</t>
  </si>
  <si>
    <t>Resumo das verificações</t>
  </si>
  <si>
    <t>Resistência à flexão</t>
  </si>
  <si>
    <t>Resistência ao corte madeira</t>
  </si>
  <si>
    <t>Resistência ao corte poliuretano</t>
  </si>
  <si>
    <t>deformação instantanea</t>
  </si>
  <si>
    <t>deformação final</t>
  </si>
  <si>
    <r>
      <t>G</t>
    </r>
    <r>
      <rPr>
        <b/>
        <vertAlign val="subscript"/>
        <sz val="11"/>
        <color theme="1"/>
        <rFont val="Calibri"/>
        <family val="2"/>
        <scheme val="minor"/>
      </rPr>
      <t>k</t>
    </r>
    <r>
      <rPr>
        <b/>
        <sz val="11"/>
        <color theme="1"/>
        <rFont val="Calibri"/>
        <family val="2"/>
        <scheme val="minor"/>
      </rPr>
      <t xml:space="preserve"> (kN/m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</si>
  <si>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k</t>
    </r>
    <r>
      <rPr>
        <b/>
        <sz val="11"/>
        <color theme="1"/>
        <rFont val="Calibri"/>
        <family val="2"/>
        <scheme val="minor"/>
      </rPr>
      <t xml:space="preserve"> (kN/m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</si>
  <si>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σ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</si>
  <si>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τ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</si>
  <si>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f</t>
    </r>
    <r>
      <rPr>
        <b/>
        <vertAlign val="subscript"/>
        <sz val="11"/>
        <rFont val="Calibri"/>
        <family val="2"/>
        <scheme val="minor"/>
      </rPr>
      <t>m,d</t>
    </r>
    <r>
      <rPr>
        <b/>
        <sz val="11"/>
        <rFont val="Calibri"/>
        <family val="2"/>
        <scheme val="minor"/>
      </rPr>
      <t xml:space="preserve"> (N/mm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</si>
  <si>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r>
      <t>f</t>
    </r>
    <r>
      <rPr>
        <b/>
        <vertAlign val="subscript"/>
        <sz val="11"/>
        <rFont val="Calibri"/>
        <family val="2"/>
        <scheme val="minor"/>
      </rPr>
      <t>v,d</t>
    </r>
    <r>
      <rPr>
        <b/>
        <sz val="11"/>
        <rFont val="Calibri"/>
        <family val="2"/>
        <scheme val="minor"/>
      </rPr>
      <t xml:space="preserve"> (N/mm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</si>
  <si>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t>p ULS</t>
  </si>
  <si>
    <t>p SLSinst</t>
  </si>
  <si>
    <t>p SLSfin</t>
  </si>
  <si>
    <t>M ULS</t>
  </si>
  <si>
    <t>V ULS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</si>
</sst>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0.0%"/>
    <numFmt numFmtId="167" formatCode="0.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7.7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2" fillId="0" borderId="0" xfId="0" applyFont="1" applyAlignment="1">
      <alignment horizontal="right"/>
    </xf>
    <xf numFmtId="164" fontId="0" fillId="2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Font="1"/>
    <xf numFmtId="1" fontId="0" fillId="5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5" fontId="0" fillId="2" borderId="0" xfId="0" applyNumberFormat="1" applyFont="1" applyFill="1" applyAlignment="1">
      <alignment horizontal="center"/>
    </xf>
    <xf numFmtId="165" fontId="0" fillId="3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0" fillId="0" borderId="0" xfId="0" applyFill="1"/>
    <xf numFmtId="0" fontId="1" fillId="0" borderId="0" xfId="0" applyFont="1" applyFill="1" applyAlignment="1">
      <alignment horizontal="center"/>
    </xf>
    <xf numFmtId="165" fontId="0" fillId="0" borderId="0" xfId="0" applyNumberFormat="1" applyFon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0" fontId="0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0" fillId="3" borderId="0" xfId="0" applyNumberForma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6" fontId="0" fillId="2" borderId="0" xfId="0" applyNumberFormat="1" applyFill="1" applyAlignment="1">
      <alignment horizontal="center"/>
    </xf>
    <xf numFmtId="166" fontId="0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1" fontId="0" fillId="2" borderId="0" xfId="0" applyNumberFormat="1" applyFill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8" fillId="7" borderId="0" xfId="0" applyNumberFormat="1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0" xfId="0" applyFill="1" applyAlignment="1">
      <alignment horizontal="center"/>
    </xf>
    <xf numFmtId="0" fontId="1" fillId="0" borderId="0" xfId="0" applyFont="1"/>
    <xf numFmtId="164" fontId="0" fillId="0" borderId="0" xfId="0" applyNumberFormat="1"/>
    <xf numFmtId="0" fontId="4" fillId="0" borderId="0" xfId="0" applyFont="1"/>
    <xf numFmtId="0" fontId="9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vertical="center" wrapText="1"/>
    </xf>
    <xf numFmtId="9" fontId="0" fillId="0" borderId="0" xfId="0" applyNumberFormat="1" applyAlignment="1">
      <alignment horizontal="center"/>
    </xf>
    <xf numFmtId="11" fontId="0" fillId="2" borderId="0" xfId="0" applyNumberFormat="1" applyFont="1" applyFill="1" applyAlignment="1">
      <alignment horizontal="center" vertical="center"/>
    </xf>
    <xf numFmtId="1" fontId="10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165" fontId="0" fillId="4" borderId="0" xfId="0" applyNumberFormat="1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1" fontId="0" fillId="4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7" fontId="0" fillId="2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164" fontId="0" fillId="2" borderId="0" xfId="0" applyNumberFormat="1" applyFont="1" applyFill="1" applyAlignment="1">
      <alignment horizontal="center" vertical="center"/>
    </xf>
    <xf numFmtId="165" fontId="0" fillId="3" borderId="0" xfId="0" applyNumberFormat="1" applyFont="1" applyFill="1" applyAlignment="1">
      <alignment horizontal="center" vertical="center"/>
    </xf>
    <xf numFmtId="165" fontId="0" fillId="2" borderId="0" xfId="0" applyNumberFormat="1" applyFont="1" applyFill="1" applyAlignment="1">
      <alignment horizontal="center" vertical="center"/>
    </xf>
    <xf numFmtId="0" fontId="1" fillId="8" borderId="0" xfId="0" applyFont="1" applyFill="1" applyAlignment="1">
      <alignment horizontal="center"/>
    </xf>
    <xf numFmtId="165" fontId="1" fillId="5" borderId="0" xfId="0" applyNumberFormat="1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1" fontId="0" fillId="3" borderId="0" xfId="0" applyNumberFormat="1" applyFont="1" applyFill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165" fontId="0" fillId="2" borderId="0" xfId="0" applyNumberFormat="1" applyFont="1" applyFill="1" applyAlignment="1">
      <alignment horizontal="center" vertical="center"/>
    </xf>
    <xf numFmtId="164" fontId="0" fillId="3" borderId="0" xfId="0" applyNumberFormat="1" applyFont="1" applyFill="1" applyAlignment="1">
      <alignment horizontal="center" vertical="center"/>
    </xf>
    <xf numFmtId="165" fontId="0" fillId="3" borderId="0" xfId="0" applyNumberFormat="1" applyFont="1" applyFill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/>
    </xf>
    <xf numFmtId="0" fontId="12" fillId="0" borderId="0" xfId="0" applyFont="1"/>
    <xf numFmtId="0" fontId="0" fillId="3" borderId="0" xfId="0" applyFill="1"/>
    <xf numFmtId="0" fontId="1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ont="1" applyFill="1" applyAlignment="1">
      <alignment horizontal="center"/>
    </xf>
    <xf numFmtId="165" fontId="0" fillId="10" borderId="0" xfId="0" applyNumberFormat="1" applyFont="1" applyFill="1" applyAlignment="1">
      <alignment horizontal="center"/>
    </xf>
    <xf numFmtId="164" fontId="0" fillId="10" borderId="0" xfId="0" applyNumberFormat="1" applyFont="1" applyFill="1" applyAlignment="1">
      <alignment horizontal="center"/>
    </xf>
    <xf numFmtId="0" fontId="0" fillId="10" borderId="0" xfId="0" applyFill="1"/>
    <xf numFmtId="0" fontId="0" fillId="0" borderId="0" xfId="0" applyFill="1" applyBorder="1"/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165" fontId="1" fillId="6" borderId="1" xfId="0" applyNumberFormat="1" applyFon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166" fontId="0" fillId="2" borderId="0" xfId="0" applyNumberFormat="1" applyFont="1" applyFill="1" applyBorder="1" applyAlignment="1">
      <alignment horizontal="center" vertical="center"/>
    </xf>
    <xf numFmtId="166" fontId="0" fillId="3" borderId="0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6" borderId="0" xfId="0" applyFill="1"/>
    <xf numFmtId="0" fontId="2" fillId="6" borderId="0" xfId="0" applyFont="1" applyFill="1" applyAlignment="1">
      <alignment horizontal="right"/>
    </xf>
    <xf numFmtId="0" fontId="0" fillId="6" borderId="0" xfId="0" applyFont="1" applyFill="1"/>
    <xf numFmtId="0" fontId="4" fillId="6" borderId="0" xfId="0" applyFont="1" applyFill="1"/>
    <xf numFmtId="0" fontId="1" fillId="6" borderId="0" xfId="0" applyFont="1" applyFill="1" applyAlignment="1">
      <alignment horizontal="center"/>
    </xf>
    <xf numFmtId="0" fontId="0" fillId="8" borderId="0" xfId="0" applyFont="1" applyFill="1" applyAlignment="1">
      <alignment horizontal="center"/>
    </xf>
    <xf numFmtId="1" fontId="0" fillId="7" borderId="0" xfId="0" applyNumberForma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 vertical="center"/>
    </xf>
    <xf numFmtId="167" fontId="1" fillId="3" borderId="0" xfId="0" applyNumberFormat="1" applyFont="1" applyFill="1" applyAlignment="1">
      <alignment horizontal="center" vertical="center"/>
    </xf>
    <xf numFmtId="164" fontId="0" fillId="10" borderId="0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64" fontId="0" fillId="8" borderId="0" xfId="0" applyNumberFormat="1" applyFont="1" applyFill="1" applyAlignment="1">
      <alignment horizontal="center"/>
    </xf>
    <xf numFmtId="165" fontId="1" fillId="8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11" fontId="0" fillId="3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1" fontId="0" fillId="2" borderId="0" xfId="0" applyNumberFormat="1" applyFont="1" applyFill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165" fontId="0" fillId="2" borderId="0" xfId="0" applyNumberFormat="1" applyFont="1" applyFill="1" applyAlignment="1">
      <alignment horizontal="center" vertical="center"/>
    </xf>
    <xf numFmtId="164" fontId="0" fillId="3" borderId="0" xfId="0" applyNumberFormat="1" applyFont="1" applyFill="1" applyAlignment="1">
      <alignment horizontal="center" vertical="center"/>
    </xf>
    <xf numFmtId="165" fontId="1" fillId="3" borderId="3" xfId="0" applyNumberFormat="1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9" borderId="0" xfId="0" applyNumberFormat="1" applyFont="1" applyFill="1" applyBorder="1" applyAlignment="1">
      <alignment horizontal="center" vertical="center"/>
    </xf>
    <xf numFmtId="0" fontId="0" fillId="9" borderId="0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87377714149459"/>
          <c:y val="8.0546805478974248E-2"/>
          <c:w val="0.73493850458775312"/>
          <c:h val="0.69408407100643399"/>
        </c:manualLayout>
      </c:layout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ULS!$C$43:$C$54</c:f>
              <c:numCache>
                <c:formatCode>0.000</c:formatCode>
                <c:ptCount val="12"/>
                <c:pt idx="0" formatCode="General">
                  <c:v>0</c:v>
                </c:pt>
                <c:pt idx="1">
                  <c:v>-1.4137343379171925</c:v>
                </c:pt>
                <c:pt idx="2">
                  <c:v>-0.84150853447451934</c:v>
                </c:pt>
                <c:pt idx="3">
                  <c:v>-1.3723775548454971E-2</c:v>
                </c:pt>
                <c:pt idx="4">
                  <c:v>-4.3916081755055909E-3</c:v>
                </c:pt>
                <c:pt idx="5">
                  <c:v>-1.8658845235679377E-5</c:v>
                </c:pt>
                <c:pt idx="6">
                  <c:v>1.8658845235679377E-5</c:v>
                </c:pt>
                <c:pt idx="7">
                  <c:v>4.3916081755055909E-3</c:v>
                </c:pt>
                <c:pt idx="8">
                  <c:v>1.3723775548454971E-2</c:v>
                </c:pt>
                <c:pt idx="9">
                  <c:v>0.84150853447451934</c:v>
                </c:pt>
                <c:pt idx="10">
                  <c:v>1.4137343379171925</c:v>
                </c:pt>
                <c:pt idx="11" formatCode="General">
                  <c:v>0</c:v>
                </c:pt>
              </c:numCache>
            </c:numRef>
          </c:xVal>
          <c:yVal>
            <c:numRef>
              <c:f>ULS!$B$43:$B$54</c:f>
              <c:numCache>
                <c:formatCode>0</c:formatCode>
                <c:ptCount val="12"/>
                <c:pt idx="0" formatCode="General">
                  <c:v>420</c:v>
                </c:pt>
                <c:pt idx="1">
                  <c:v>420</c:v>
                </c:pt>
                <c:pt idx="2">
                  <c:v>335</c:v>
                </c:pt>
                <c:pt idx="3">
                  <c:v>335</c:v>
                </c:pt>
                <c:pt idx="4">
                  <c:v>250</c:v>
                </c:pt>
                <c:pt idx="5">
                  <c:v>250</c:v>
                </c:pt>
                <c:pt idx="6">
                  <c:v>170</c:v>
                </c:pt>
                <c:pt idx="7">
                  <c:v>170</c:v>
                </c:pt>
                <c:pt idx="8">
                  <c:v>85</c:v>
                </c:pt>
                <c:pt idx="9">
                  <c:v>85</c:v>
                </c:pt>
                <c:pt idx="10">
                  <c:v>0</c:v>
                </c:pt>
                <c:pt idx="11" formatCode="General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723056"/>
        <c:axId val="256723616"/>
      </c:scatterChart>
      <c:valAx>
        <c:axId val="256723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PT">
                    <a:latin typeface="Calibri"/>
                    <a:cs typeface="Calibri"/>
                  </a:rPr>
                  <a:t>σ (N/mm2)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56723616"/>
        <c:crosses val="autoZero"/>
        <c:crossBetween val="midCat"/>
      </c:valAx>
      <c:valAx>
        <c:axId val="256723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altura desde a base (mm)</a:t>
                </a:r>
              </a:p>
            </c:rich>
          </c:tx>
          <c:layout>
            <c:manualLayout>
              <c:xMode val="edge"/>
              <c:yMode val="edge"/>
              <c:x val="4.1322326903814412E-2"/>
              <c:y val="0.1414929813935212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crossAx val="2567230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974815484879"/>
          <c:y val="5.336979362588043E-2"/>
          <c:w val="0.79280314960629916"/>
          <c:h val="0.73444808982210552"/>
        </c:manualLayout>
      </c:layout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ULS!$B$58:$B$72</c:f>
              <c:numCache>
                <c:formatCode>0.000</c:formatCode>
                <c:ptCount val="15"/>
                <c:pt idx="0">
                  <c:v>0</c:v>
                </c:pt>
                <c:pt idx="1">
                  <c:v>3.6002540133268181E-2</c:v>
                </c:pt>
                <c:pt idx="2">
                  <c:v>6.38985480510985E-2</c:v>
                </c:pt>
                <c:pt idx="3">
                  <c:v>6.38985480510985E-2</c:v>
                </c:pt>
                <c:pt idx="4">
                  <c:v>6.4221285506079667E-2</c:v>
                </c:pt>
                <c:pt idx="5">
                  <c:v>6.4411817256610715E-2</c:v>
                </c:pt>
                <c:pt idx="6">
                  <c:v>6.4411817256610715E-2</c:v>
                </c:pt>
                <c:pt idx="7" formatCode="0.0000">
                  <c:v>6.4412066041213856E-2</c:v>
                </c:pt>
                <c:pt idx="8">
                  <c:v>6.4411817256610715E-2</c:v>
                </c:pt>
                <c:pt idx="9" formatCode="0.0000">
                  <c:v>6.4411817256610715E-2</c:v>
                </c:pt>
                <c:pt idx="10">
                  <c:v>6.4221285506079667E-2</c:v>
                </c:pt>
                <c:pt idx="11">
                  <c:v>6.38985480510985E-2</c:v>
                </c:pt>
                <c:pt idx="12" formatCode="0.0000">
                  <c:v>6.38985480510985E-2</c:v>
                </c:pt>
                <c:pt idx="13">
                  <c:v>3.6002540133268181E-2</c:v>
                </c:pt>
                <c:pt idx="14">
                  <c:v>0</c:v>
                </c:pt>
              </c:numCache>
            </c:numRef>
          </c:xVal>
          <c:yVal>
            <c:numRef>
              <c:f>ULS!$P$58:$P$72</c:f>
              <c:numCache>
                <c:formatCode>0.0</c:formatCode>
                <c:ptCount val="15"/>
                <c:pt idx="0">
                  <c:v>420</c:v>
                </c:pt>
                <c:pt idx="1">
                  <c:v>377.5</c:v>
                </c:pt>
                <c:pt idx="2">
                  <c:v>335</c:v>
                </c:pt>
                <c:pt idx="3">
                  <c:v>335</c:v>
                </c:pt>
                <c:pt idx="4">
                  <c:v>292.5</c:v>
                </c:pt>
                <c:pt idx="5">
                  <c:v>250</c:v>
                </c:pt>
                <c:pt idx="6">
                  <c:v>250</c:v>
                </c:pt>
                <c:pt idx="7">
                  <c:v>210</c:v>
                </c:pt>
                <c:pt idx="8">
                  <c:v>170</c:v>
                </c:pt>
                <c:pt idx="9">
                  <c:v>170</c:v>
                </c:pt>
                <c:pt idx="10">
                  <c:v>127.5</c:v>
                </c:pt>
                <c:pt idx="11">
                  <c:v>85</c:v>
                </c:pt>
                <c:pt idx="12">
                  <c:v>85</c:v>
                </c:pt>
                <c:pt idx="13">
                  <c:v>42.5</c:v>
                </c:pt>
                <c:pt idx="1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725856"/>
        <c:axId val="256726416"/>
      </c:scatterChart>
      <c:valAx>
        <c:axId val="25672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>
                    <a:latin typeface="Cambria Math"/>
                    <a:ea typeface="Cambria Math"/>
                  </a:rPr>
                  <a:t>τ</a:t>
                </a:r>
                <a:r>
                  <a:rPr lang="pt-PT">
                    <a:latin typeface="Cambria Math"/>
                    <a:ea typeface="Cambria Math"/>
                  </a:rPr>
                  <a:t> (N/mm2)</a:t>
                </a:r>
                <a:endParaRPr lang="pt-PT"/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crossAx val="256726416"/>
        <c:crosses val="autoZero"/>
        <c:crossBetween val="midCat"/>
      </c:valAx>
      <c:valAx>
        <c:axId val="256726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altura</a:t>
                </a:r>
                <a:r>
                  <a:rPr lang="pt-PT" baseline="0"/>
                  <a:t> desde a base mm)</a:t>
                </a:r>
                <a:endParaRPr lang="pt-P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2567258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171451</xdr:colOff>
      <xdr:row>40</xdr:row>
      <xdr:rowOff>171450</xdr:rowOff>
    </xdr:from>
    <xdr:to>
      <xdr:col>15</xdr:col>
      <xdr:colOff>371475</xdr:colOff>
      <xdr:row>54</xdr:row>
      <xdr:rowOff>104775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56</xdr:row>
      <xdr:rowOff>38100</xdr:rowOff>
    </xdr:from>
    <xdr:to>
      <xdr:col>14</xdr:col>
      <xdr:colOff>550545</xdr:colOff>
      <xdr:row>74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106"/>
  <sheetViews>
    <sheetView tabSelected="1" zoomScale="85" zoomScaleNormal="85" workbookViewId="0">
      <selection activeCell="F4" sqref="F4:F12"/>
    </sheetView>
  </sheetViews>
  <sheetFormatPr defaultRowHeight="14.4" x14ac:dyDescent="0.3"/>
  <cols>
    <col min="1" max="1" width="17.33203125" style="48" customWidth="1"/>
    <col min="2" max="2" width="18.44140625" style="48" customWidth="1"/>
    <col min="3" max="3" width="18.33203125" style="48" customWidth="1"/>
    <col min="4" max="4" width="19.33203125" style="48" customWidth="1"/>
    <col min="5" max="5" width="16.5546875" style="48" customWidth="1"/>
    <col min="6" max="6" width="13.109375" style="48" customWidth="1"/>
    <col min="7" max="9" width="10.44140625" style="48" customWidth="1"/>
    <col min="10" max="12" width="10.6640625" style="48" customWidth="1"/>
    <col min="13" max="13" width="16.109375" style="48" customWidth="1"/>
    <col min="14" max="14" width="14" style="48" customWidth="1"/>
    <col min="15" max="15" width="10.5546875" style="48" customWidth="1"/>
    <col min="16" max="16" width="10" style="48" customWidth="1"/>
    <col min="17" max="17" width="9.5546875" style="48" customWidth="1"/>
    <col min="18" max="18" width="12" style="48" bestFit="1" customWidth="1"/>
    <col min="19" max="16384" width="8.88671875" style="48"/>
  </cols>
  <sheetData>
    <row r="2" spans="1:86" s="100" customFormat="1" x14ac:dyDescent="0.3">
      <c r="A2" s="118" t="s">
        <v>3</v>
      </c>
      <c r="B2" s="118"/>
      <c r="C2" s="118"/>
    </row>
    <row r="3" spans="1:86" ht="17.25" customHeight="1" x14ac:dyDescent="0.3">
      <c r="E3" s="139" t="s">
        <v>37</v>
      </c>
      <c r="K3" s="117" t="s">
        <v>54</v>
      </c>
      <c r="L3" s="117" t="s">
        <v>55</v>
      </c>
      <c r="M3" s="117" t="s">
        <v>65</v>
      </c>
      <c r="N3" s="117" t="s">
        <v>66</v>
      </c>
      <c r="O3" s="117" t="s">
        <v>43</v>
      </c>
      <c r="P3" s="117" t="s">
        <v>44</v>
      </c>
      <c r="Q3" s="117" t="s">
        <v>57</v>
      </c>
      <c r="R3" s="117" t="s">
        <v>58</v>
      </c>
      <c r="S3" s="117" t="s">
        <v>65</v>
      </c>
      <c r="T3" s="117" t="s">
        <v>66</v>
      </c>
    </row>
    <row r="4" spans="1:86" ht="17.25" customHeight="1" x14ac:dyDescent="0.3">
      <c r="E4" s="139"/>
      <c r="K4" s="117"/>
      <c r="L4" s="117"/>
      <c r="M4" s="117"/>
      <c r="N4" s="117"/>
      <c r="O4" s="117"/>
      <c r="P4" s="117"/>
      <c r="Q4" s="117"/>
      <c r="R4" s="117"/>
      <c r="S4" s="117"/>
      <c r="T4" s="117"/>
    </row>
    <row r="5" spans="1:86" ht="16.8" thickBot="1" x14ac:dyDescent="0.35">
      <c r="A5" s="50"/>
      <c r="B5" s="50"/>
      <c r="C5" s="50" t="s">
        <v>0</v>
      </c>
      <c r="D5" s="50" t="s">
        <v>34</v>
      </c>
      <c r="E5" s="50" t="s">
        <v>35</v>
      </c>
      <c r="F5" s="116"/>
      <c r="G5" s="50" t="s">
        <v>52</v>
      </c>
      <c r="H5" s="30" t="s">
        <v>59</v>
      </c>
      <c r="J5" s="50" t="s">
        <v>53</v>
      </c>
      <c r="K5" s="117"/>
      <c r="L5" s="117"/>
      <c r="M5" s="117"/>
      <c r="N5" s="117"/>
      <c r="O5" s="117"/>
      <c r="P5" s="117"/>
      <c r="Q5" s="117"/>
      <c r="R5" s="117"/>
      <c r="S5" s="117"/>
      <c r="T5" s="117"/>
    </row>
    <row r="6" spans="1:86" ht="15" thickBot="1" x14ac:dyDescent="0.35">
      <c r="A6" s="11" t="s">
        <v>6</v>
      </c>
      <c r="B6" s="87">
        <v>85</v>
      </c>
      <c r="C6" s="1">
        <v>1000</v>
      </c>
      <c r="D6" s="36">
        <f>C6*B6</f>
        <v>85000</v>
      </c>
      <c r="E6" s="36">
        <f>C6*B6*(B6/2)</f>
        <v>3612500</v>
      </c>
      <c r="F6" s="116"/>
      <c r="G6" s="140">
        <f>MAX(D32:D33)</f>
        <v>0.8</v>
      </c>
      <c r="H6" s="142">
        <v>1.3</v>
      </c>
      <c r="J6" s="36">
        <v>0.6</v>
      </c>
      <c r="K6" s="89">
        <f>11000</f>
        <v>11000</v>
      </c>
      <c r="L6" s="89">
        <f>690</f>
        <v>690</v>
      </c>
      <c r="M6" s="13">
        <f>K6/(1+J6)</f>
        <v>6875</v>
      </c>
      <c r="N6" s="13">
        <f>L6/(1+J6)</f>
        <v>431.25</v>
      </c>
      <c r="O6" s="90">
        <v>24</v>
      </c>
      <c r="P6" s="70" t="s">
        <v>61</v>
      </c>
      <c r="Q6" s="70">
        <f>O6*G6/H6</f>
        <v>14.76923076923077</v>
      </c>
      <c r="R6" s="70"/>
      <c r="S6" s="13">
        <f>K6/(1+IF(B32&gt;=B33,C32,C33)*J6)</f>
        <v>9322.033898305086</v>
      </c>
      <c r="T6" s="13">
        <f>L6/(1+IF(B32&gt;=B33,C32,C33)*J6)</f>
        <v>584.74576271186447</v>
      </c>
    </row>
    <row r="7" spans="1:86" s="79" customFormat="1" ht="15" thickBot="1" x14ac:dyDescent="0.35">
      <c r="A7" s="12" t="s">
        <v>7</v>
      </c>
      <c r="B7" s="87">
        <f>hci</f>
        <v>85</v>
      </c>
      <c r="C7" s="25">
        <v>1000</v>
      </c>
      <c r="D7" s="35">
        <f>C7*B7</f>
        <v>85000</v>
      </c>
      <c r="E7" s="35">
        <f>C7*B7*(B6+B7/2)</f>
        <v>10837500</v>
      </c>
      <c r="F7" s="116"/>
      <c r="G7" s="141"/>
      <c r="H7" s="142"/>
      <c r="I7" s="48"/>
      <c r="J7" s="35">
        <v>2.2999999999999998</v>
      </c>
      <c r="K7" s="89">
        <v>370</v>
      </c>
      <c r="L7" s="89">
        <v>69</v>
      </c>
      <c r="M7" s="14">
        <f t="shared" ref="M7:M10" si="0">K7/(1+J7)</f>
        <v>112.12121212121212</v>
      </c>
      <c r="N7" s="14">
        <f t="shared" ref="N7:N10" si="1">L7/(1+J7)</f>
        <v>20.90909090909091</v>
      </c>
      <c r="O7" s="35" t="s">
        <v>61</v>
      </c>
      <c r="P7" s="111">
        <v>1.1000000000000001</v>
      </c>
      <c r="Q7" s="71"/>
      <c r="R7" s="71">
        <f>P7*G6/H6</f>
        <v>0.67692307692307696</v>
      </c>
      <c r="S7" s="14">
        <f>K7/(1+IF(B32&gt;=B33,C32,C33)*J7)</f>
        <v>218.93491124260356</v>
      </c>
      <c r="T7" s="14">
        <f>L7/(1+IF(B32&gt;=B33,C32,C33)*J7)</f>
        <v>40.828402366863905</v>
      </c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</row>
    <row r="8" spans="1:86" s="85" customFormat="1" ht="15" thickBot="1" x14ac:dyDescent="0.35">
      <c r="A8" s="80" t="s">
        <v>8</v>
      </c>
      <c r="B8" s="87">
        <v>80</v>
      </c>
      <c r="C8" s="81">
        <v>1000</v>
      </c>
      <c r="D8" s="82">
        <f>C8*B8</f>
        <v>80000</v>
      </c>
      <c r="E8" s="82">
        <f>C8*B8*(B6+B7+B8/2)</f>
        <v>16800000</v>
      </c>
      <c r="F8" s="116"/>
      <c r="G8" s="141"/>
      <c r="H8" s="142"/>
      <c r="I8" s="48"/>
      <c r="J8" s="82">
        <v>7</v>
      </c>
      <c r="K8" s="83">
        <v>3.8109999999999999</v>
      </c>
      <c r="L8" s="83">
        <v>3.012</v>
      </c>
      <c r="M8" s="83">
        <f t="shared" si="0"/>
        <v>0.47637499999999999</v>
      </c>
      <c r="N8" s="83">
        <f t="shared" si="1"/>
        <v>0.3765</v>
      </c>
      <c r="O8" s="82" t="s">
        <v>61</v>
      </c>
      <c r="P8" s="110">
        <v>0.106</v>
      </c>
      <c r="Q8" s="82"/>
      <c r="R8" s="84">
        <f>P8*G6/H6</f>
        <v>6.5230769230769231E-2</v>
      </c>
      <c r="S8" s="83">
        <f>K8/(1+IF(B32&gt;=B33,C32,C33)*J8)</f>
        <v>1.2293548387096773</v>
      </c>
      <c r="T8" s="83">
        <f>L8/(1+IF(B32&gt;=B33,C32,C33)*J8)</f>
        <v>0.9716129032258064</v>
      </c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</row>
    <row r="9" spans="1:86" s="79" customFormat="1" x14ac:dyDescent="0.3">
      <c r="A9" s="12" t="s">
        <v>9</v>
      </c>
      <c r="B9" s="61">
        <f>hqu</f>
        <v>85</v>
      </c>
      <c r="C9" s="25">
        <v>1000</v>
      </c>
      <c r="D9" s="35">
        <f>C9*B9</f>
        <v>85000</v>
      </c>
      <c r="E9" s="35">
        <f>C9*B9*(B6+B7+B8+B9/2)</f>
        <v>24862500</v>
      </c>
      <c r="F9" s="116"/>
      <c r="G9" s="141"/>
      <c r="H9" s="142"/>
      <c r="I9" s="48"/>
      <c r="J9" s="35">
        <f>J7</f>
        <v>2.2999999999999998</v>
      </c>
      <c r="K9" s="14">
        <f>K7</f>
        <v>370</v>
      </c>
      <c r="L9" s="14">
        <f>L7</f>
        <v>69</v>
      </c>
      <c r="M9" s="14">
        <f t="shared" si="0"/>
        <v>112.12121212121212</v>
      </c>
      <c r="N9" s="14">
        <f t="shared" si="1"/>
        <v>20.90909090909091</v>
      </c>
      <c r="O9" s="35" t="s">
        <v>61</v>
      </c>
      <c r="P9" s="71">
        <f>P7</f>
        <v>1.1000000000000001</v>
      </c>
      <c r="Q9" s="35"/>
      <c r="R9" s="71">
        <f>P9*G6/H6</f>
        <v>0.67692307692307696</v>
      </c>
      <c r="S9" s="14">
        <f>K9/(1+IF(B32&gt;=B33,C32,C33)*J9)</f>
        <v>218.93491124260356</v>
      </c>
      <c r="T9" s="14">
        <f>L9/(1+IF(B32&gt;=B33,C32,C33)*J9)</f>
        <v>40.828402366863905</v>
      </c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</row>
    <row r="10" spans="1:86" x14ac:dyDescent="0.3">
      <c r="A10" s="11" t="s">
        <v>10</v>
      </c>
      <c r="B10" s="60">
        <f>hci</f>
        <v>85</v>
      </c>
      <c r="C10" s="1">
        <v>1000</v>
      </c>
      <c r="D10" s="36">
        <f>C10*B10</f>
        <v>85000</v>
      </c>
      <c r="E10" s="1">
        <f>C10*B10*(B6+B7+B8+B9+B10/2)</f>
        <v>32087500</v>
      </c>
      <c r="G10" s="141"/>
      <c r="H10" s="142"/>
      <c r="J10" s="36">
        <f>J6</f>
        <v>0.6</v>
      </c>
      <c r="K10" s="13">
        <f>K6</f>
        <v>11000</v>
      </c>
      <c r="L10" s="13">
        <f>L6</f>
        <v>690</v>
      </c>
      <c r="M10" s="13">
        <f t="shared" si="0"/>
        <v>6875</v>
      </c>
      <c r="N10" s="13">
        <f t="shared" si="1"/>
        <v>431.25</v>
      </c>
      <c r="O10" s="70">
        <f>O6</f>
        <v>24</v>
      </c>
      <c r="P10" s="70" t="str">
        <f>P6</f>
        <v>-</v>
      </c>
      <c r="Q10" s="70">
        <f>Q6</f>
        <v>14.76923076923077</v>
      </c>
      <c r="R10" s="70"/>
      <c r="S10" s="13">
        <f>K10/(1+IF(B32&gt;=B33,C32,C33)*J10)</f>
        <v>9322.033898305086</v>
      </c>
      <c r="T10" s="13">
        <f>L10/(1+IF(B32&gt;=B33,C32,C33)*J10)</f>
        <v>584.74576271186447</v>
      </c>
    </row>
    <row r="11" spans="1:86" ht="15" thickBot="1" x14ac:dyDescent="0.35">
      <c r="F11" s="115"/>
      <c r="P11" s="52"/>
      <c r="Q11" s="52"/>
    </row>
    <row r="12" spans="1:86" ht="15" thickBot="1" x14ac:dyDescent="0.35">
      <c r="B12" s="42" t="s">
        <v>18</v>
      </c>
      <c r="C12" s="89">
        <v>6000</v>
      </c>
      <c r="D12" s="48" t="s">
        <v>12</v>
      </c>
      <c r="P12" s="52"/>
      <c r="Q12" s="52"/>
    </row>
    <row r="13" spans="1:86" x14ac:dyDescent="0.3">
      <c r="B13" s="42" t="s">
        <v>36</v>
      </c>
      <c r="C13" s="105">
        <f>SUM(B6:B10)</f>
        <v>420</v>
      </c>
      <c r="D13" s="48" t="s">
        <v>12</v>
      </c>
    </row>
    <row r="14" spans="1:86" x14ac:dyDescent="0.3">
      <c r="B14" s="42" t="s">
        <v>21</v>
      </c>
      <c r="C14" s="6">
        <f>C6</f>
        <v>1000</v>
      </c>
      <c r="D14" s="48" t="s">
        <v>12</v>
      </c>
    </row>
    <row r="15" spans="1:86" x14ac:dyDescent="0.3">
      <c r="A15" s="41"/>
      <c r="B15" s="42" t="s">
        <v>42</v>
      </c>
      <c r="C15" s="19">
        <f>(M6*E6+M7*E7+M8*E8+M9*E9+M10*E10)/(M6*B6*C6+M7*B7*C7+M8*B8*C8+M9*B9*C9+M10*B10*C10)</f>
        <v>210</v>
      </c>
      <c r="D15" s="48" t="s">
        <v>12</v>
      </c>
    </row>
    <row r="16" spans="1:86" x14ac:dyDescent="0.3">
      <c r="A16" s="26"/>
      <c r="B16" s="42"/>
      <c r="C16" s="42"/>
    </row>
    <row r="17" spans="1:20" s="100" customFormat="1" x14ac:dyDescent="0.3">
      <c r="A17" s="118" t="s">
        <v>4</v>
      </c>
      <c r="B17" s="118"/>
      <c r="C17" s="118"/>
      <c r="D17" s="101"/>
      <c r="E17" s="102"/>
    </row>
    <row r="18" spans="1:20" x14ac:dyDescent="0.3">
      <c r="A18" s="21"/>
      <c r="B18" s="21" t="s">
        <v>14</v>
      </c>
      <c r="C18" s="21" t="s">
        <v>11</v>
      </c>
      <c r="D18" s="21" t="s">
        <v>16</v>
      </c>
    </row>
    <row r="19" spans="1:20" x14ac:dyDescent="0.3">
      <c r="A19" s="21"/>
      <c r="B19" s="21" t="s">
        <v>15</v>
      </c>
      <c r="C19" s="49" t="s">
        <v>27</v>
      </c>
      <c r="D19" s="21" t="s">
        <v>17</v>
      </c>
    </row>
    <row r="20" spans="1:20" ht="16.2" x14ac:dyDescent="0.3">
      <c r="A20" s="49"/>
      <c r="B20" s="50" t="s">
        <v>13</v>
      </c>
      <c r="C20" s="50" t="s">
        <v>32</v>
      </c>
      <c r="D20" s="22" t="s">
        <v>33</v>
      </c>
      <c r="E20" s="22" t="s">
        <v>33</v>
      </c>
      <c r="G20" s="44"/>
      <c r="H20" s="44"/>
      <c r="I20" s="44"/>
      <c r="N20" s="44"/>
    </row>
    <row r="21" spans="1:20" x14ac:dyDescent="0.3">
      <c r="A21" s="11" t="s">
        <v>6</v>
      </c>
      <c r="B21" s="13">
        <f>ABS(C15-B6/2)</f>
        <v>167.5</v>
      </c>
      <c r="C21" s="2">
        <f>C6*B6^3/12+D6*B21^2</f>
        <v>2435958333.3333335</v>
      </c>
      <c r="D21" s="37">
        <f>C21*M6</f>
        <v>16747213541666.668</v>
      </c>
    </row>
    <row r="22" spans="1:20" x14ac:dyDescent="0.3">
      <c r="A22" s="12" t="s">
        <v>7</v>
      </c>
      <c r="B22" s="14">
        <f>ABS(C15-B6-B7/2)</f>
        <v>82.5</v>
      </c>
      <c r="C22" s="23">
        <f>C7*B7^3/12+D7*B22^2</f>
        <v>629708333.33333337</v>
      </c>
      <c r="D22" s="38">
        <f>C22*M7</f>
        <v>70603661616.161621</v>
      </c>
      <c r="G22" s="44"/>
      <c r="H22" s="44"/>
      <c r="I22" s="44"/>
    </row>
    <row r="23" spans="1:20" x14ac:dyDescent="0.3">
      <c r="A23" s="64" t="s">
        <v>8</v>
      </c>
      <c r="B23" s="57">
        <f>ABS(C15-B6-B7-B8/2)</f>
        <v>0</v>
      </c>
      <c r="C23" s="58">
        <f>C8*B8^3/12+D8*B23^2</f>
        <v>42666666.666666664</v>
      </c>
      <c r="D23" s="59">
        <f>C23*M8</f>
        <v>20325333.333333332</v>
      </c>
      <c r="P23" s="26"/>
    </row>
    <row r="24" spans="1:20" x14ac:dyDescent="0.3">
      <c r="A24" s="12" t="s">
        <v>9</v>
      </c>
      <c r="B24" s="14">
        <f>ABS(C15-B6-B7-B8-B9/2)</f>
        <v>82.5</v>
      </c>
      <c r="C24" s="23">
        <f>C9*B9^3/12+D9*B24^2</f>
        <v>629708333.33333337</v>
      </c>
      <c r="D24" s="38">
        <f>C24*M9</f>
        <v>70603661616.161621</v>
      </c>
      <c r="F24" s="42"/>
      <c r="J24" s="49"/>
      <c r="K24" s="49"/>
      <c r="L24" s="49"/>
      <c r="P24" s="42"/>
      <c r="S24" s="45"/>
    </row>
    <row r="25" spans="1:20" x14ac:dyDescent="0.3">
      <c r="A25" s="11" t="s">
        <v>10</v>
      </c>
      <c r="B25" s="13">
        <f>ABS(C15-B6-B7-B8-B9-B10/2)</f>
        <v>167.5</v>
      </c>
      <c r="C25" s="2">
        <f>C10*B10^3/12+D10*B25^2</f>
        <v>2435958333.3333335</v>
      </c>
      <c r="D25" s="37">
        <f>C25*M10</f>
        <v>16747213541666.668</v>
      </c>
      <c r="E25" s="49"/>
      <c r="F25" s="55"/>
      <c r="J25" s="42"/>
      <c r="K25" s="42"/>
      <c r="L25" s="42"/>
      <c r="P25" s="42"/>
      <c r="S25" s="45"/>
    </row>
    <row r="26" spans="1:20" s="16" customFormat="1" ht="15.6" x14ac:dyDescent="0.35">
      <c r="A26" s="17"/>
      <c r="B26" s="43"/>
      <c r="D26" s="106">
        <f>SUM(D21:D25)</f>
        <v>33635654731898.992</v>
      </c>
      <c r="E26" s="39" t="s">
        <v>41</v>
      </c>
      <c r="F26" s="40">
        <f>60*gci*gdo*gqu*gtr*gum*kclt^2/(b*(8*h^5*etr^2*gci*gdo*gqu*gum-40*h^4*(n*etr-edo*hdo+etr*(hdo+hum)-eum*hum)*etr*gci*gdo*gqu*gum+20*h^3*(4*n^2*etr^2-8*n*(edo*hdo-etr*(hdo+hum)+eum*hum)*etr+3*edo^2*hdo^2-edo*(etr*(7*hdo+8*hum)-6*eum*hum)*hdo+4*etr^2*(hdo^2+2*hdo*hum+hum^2)-etr*eum*(6*hdo+7*hum)*hum+3*eum^2*hum^2)*gci*gdo*gqu*gum-20*h^2*(4*n^3*etr^2*gdo*gum-12*n^2*(edo*hdo-etr*(hdo+hum)+eum*hum)*etr*gdo*gum+3*n*(3*edo^2*hdo^2-edo*(etr*(7*hdo+8*hum)-6*eum*hum)*hdo+4*etr^2*(hdo^2+2*hdo*hum+hum^2)-etr*eum*(6*hdo+7*hum)*hum+3*eum^2*hum^2)*gdo*gum+edo^2*(3*gdo*(2*hdo+3*hum)-gtr*hdo)*gum*hdo^2-3*edo*(etr*gdo*(3*hdo^2+7*hdo*hum+4*hum^2)-eum*(gdo*(3*hdo+5*hum)-gtr*hdo)*hum)*gum*hdo+4*etr^2*gdo*gum*(hdo+hum)*(hdo^2+2*hdo*hum+hum^2)-3*etr*eum*gdo*gum*(2*hdo^2+5*hdo*hum+3*hum^2)*hum-eum^2*(gdo*(gtr*hum-3*gum*(hdo+2*hum))+3*gtr*gum*hdo)*hum^2)*gci*gqu+5*h*(8*n^4*etr^2*gdo*gum-32*n^3*(edo*hdo-etr*(hdo+hum)+eum*hum)*etr*gdo*gum+12*n^2*(3*edo^2*hdo^2-edo*(etr*(7*hdo+8*hum)-6*eum*hum)*hdo+4*etr^2*(hdo^2+2*hdo*hum+hum^2)-etr*eum*(6*hdo+7*hum)*hum+3*eum^2*hum^2)*gdo*gum+8*n*(edo^2*(3*gdo*(2*hdo+3*hum)-gtr*hdo)*gum*hdo^2-3*edo*(etr*gdo*(3*hdo^2+7*hdo*hum+4*hum^2)-eum*(gdo*(3*hdo+5*hum)-gtr*hdo)*hum)*gum*hdo+4*etr^2*gdo*gum*(hdo+hum)*(hdo^2+2*hdo*hum+hum^2)-3*etr*eum*gdo*gum*(2*hdo^2+5*hdo*hum+3*hum^2)*hum-eum^2*(gdo*(gtr*hum-3*gum*(hdo+2*hum))+3*gtr*gum*hdo)*hum^2)+edo^2*(3*gdo*(hdo+2*hum)*(5*hdo+6*hum)-gtr*hdo*(3*hdo+8*hum))*gum*hdo^2-2*edo*(2*etr*gdo*(5*hdo^3+18*hdo^2*hum+21*hdo*hum^2+8*hum^3)-eum*(3*gdo*(2*hdo^2+9*hdo*hum+8*hum^2)-gtr*hdo*(2*hdo+9*hum))*hum)*gum*hdo+8*etr^2*gdo*gum*(hdo^2+2*hdo*hum+hum^2)^2-4*etr*eum*gdo*gum*(2*hdo^3+9*hdo^2*hum+12*hdo*hum^2+5*hum^3)*hum-3*eum^2*(gdo*(gtr*hum-gum*(4*hdo+5*hum))+4*gtr*gum*hdo)*hum^3)*gci*gqu+40*n^4*(eci*hci+edo*hdo+equ*hqu-etr*(hci+hdo+hqu+hum)+eum*hum)*etr*gci*gdo*gqu*gum+20*n^3*(3*eci^2*hci^2+eci*(6*equ*hqu-etr*(7*hci+6*hqu))*hci-3*edo^2*hdo^2+edo*(etr*(7*hdo+8*hum)-6*eum*hum)*hdo+3*equ^2*hqu^2-equ*etr*(8*hci+7*hqu)*hqu+4*etr^2*(hci^2+2*hci*hqu-hdo^2-2*hdo*hum+hqu^2-hum^2)+etr*eum*(6*hdo+7*hum)*hum-3*eum^2*hum^2)*gci*gdo*gqu*gum-20*n^2*(eci^2*(3*gci*(gqu*(2*hci+hqu)-gtr*hqu)-gqu*gtr*hci)*gdo*gum*hci^2+3*eci*(equ*(gqu*(5*hci+3*hqu)-gtr*hqu)*hqu-etr*gqu*(3*hci^2+5*hci*hqu+2*hqu^2))*gci*gdo*gum*hci+(edo^2*(3*gdo*(2*hdo+3*hum)-gtr*hdo)*gqu*gum*hdo^2-3*edo*(etr*gdo*(3*hdo^2+7*hdo*hum+4*hum^2)-eum*(gdo*(3*hdo+5*hum)-gtr*hdo)*hum)*gqu*gum*hdo+equ^2*gdo*(3*gqu*(3*hci+2*hqu)-gtr*hqu)*gum*hqu^2-3*equ*etr*gdo*gqu*gum*(4*hci^2+7*hci*hqu+3*hqu^2)*hqu+(4*etr^2*gdo*gum*(hci^3+3*hci^2*hqu+3*hci*hqu^2+hdo^3+3*hdo^2*hum+3*hdo*hum^2+hqu^3+hum^3)-3*etr*eum*gdo*gum*(2*hdo^2+5*hdo*hum+3*hum^2)*hum-eum^2*(gdo*(gtr*hum-3*gum*(hdo+2*hum))+3*gtr*gum*hdo)*hum^2)*gqu)*gci)+5*n*(3*eci^2*(gci*(gqu*(5*hci+4*hqu)-4*gtr*hqu)-gqu*gtr*hci)*gdo*gum*hci^3+2*eci*(equ*(3*gqu*(8*hci^2+9*hci*hqu+2*hqu^2)-gtr*(9*hci+2*hqu)*hqu)*hqu-2*etr*gqu*(5*hci^3+12*hci^2*hqu+9*hci*hqu^2+2*hqu^3))*gci*gdo*gum*hci-(edo^2*(3*gdo*(hdo+2*hum)*(5*hdo+6*hum)-gtr*hdo*(3*hdo+8*hum))*gqu*gum*hdo^2-2*edo*(2*etr*gdo*(5*hdo^3+18*hdo^2*hum+21*hdo*hum^2+8*hum^3)-eum*(3*gdo*(2*hdo^2+9*hdo*hum+8*hum^2)-gtr*hdo*(2*hdo+9*hum))*hum)*gqu*gum*hdo-equ^2*gdo*(3*gqu*(2*hci+hqu)*(6*hci+5*hqu)-gtr*(8*hci+3*hqu)*hqu)*gum*hqu^2+4*equ*etr*gdo*gqu*gum*(8*hci^3+21*hci^2*hqu+18*hci*hqu^2+5*hqu^3)*hqu-(8*etr^2*gdo*gum*(hci^4+4*hci^3*hqu+6*hci^2*hqu^2+4*hci*hqu^3-hdo^4-4*hdo^3*hum-6*hdo^2*hum^2-4*hdo*hum^3+hqu^4-hum^4)+4*etr*eum*gdo*gum*(2*hdo^3+9*hdo^2*hum+12*hdo*hum^2+5*hum^3)*hum+3*eum^2*(gdo*(gtr*hum-gum*(4*hdo+5*hum))+4*gtr*gum*hdo)*hum^3)*gqu)*gci)-3*eci^2*(5*gci*(gqu*(hci+hqu)-gtr*hqu)-gqu*gtr*hci)*gdo*gum*hci^4-10*eci*(equ*(3*gqu*(hci+hqu)*(2*hci+hqu)-gtr*(3*hci+hqu)*hqu)*hqu-2*etr*gqu*(hci+hqu)*(hci^2+2*hci*hqu+hqu^2))*gci*gdo*gum*hci^2-(edo^2*(15*gdo*(hdo+hum)*(hdo+2*hum)^2-gtr*hdo*(3*hdo^2+15*hdo*hum+20*hum^2))*gqu*gum*hdo^2-10*edo*(2*etr*gdo*(hdo+hum)*(hdo+2*hum)*(hdo^2+2*hdo*hum+hum^2)-eum*(3*gdo*(hdo+hum)*(hdo+2*hum)-gtr*hdo*(hdo+3*hum))*hum^2)*gqu*gum*hdo+equ^2*gdo*(15*gqu*(hci+hqu)*(2*hci+hqu)^2-gtr*(20*hci^2+15*hci*hqu+3*hqu^2)*hqu)*gum*hqu^2-20*equ*etr*gdo*gqu*gum*(hci+hqu)*(2*hci+hqu)*(hci^2+2*hci*hqu+hqu^2)*hqu+(8*etr^2*gdo*gum*(hci^5+5*hci^4*hqu+10*hci^3*hqu^2+10*hci^2*hqu^3+5*hci*hqu^4+hdo^5+5*hdo^4*hum+10*hdo^3*hum^2+10*hdo^2*hum^3+5*hdo*hum^4+hqu^5+hum^5)-20*etr*eum*gdo*gum*(hdo+hum)*(hdo^2+2*hdo*hum+hum^2)*hum^2-3*eum^2*(gdo*(gtr*hum-5*gum*(hdo+hum))+5*gtr*gum*hdo)*hum^4)*gqu)*gci))</f>
        <v>526525.95872553135</v>
      </c>
      <c r="J26" s="15"/>
      <c r="K26" s="15"/>
      <c r="L26" s="15"/>
      <c r="N26" s="48"/>
      <c r="P26" s="42"/>
      <c r="R26" s="48"/>
      <c r="S26" s="45"/>
      <c r="T26" s="48"/>
    </row>
    <row r="27" spans="1:20" s="16" customFormat="1" ht="15.6" x14ac:dyDescent="0.35">
      <c r="A27" s="17"/>
      <c r="B27" s="15"/>
      <c r="D27" s="39" t="s">
        <v>51</v>
      </c>
      <c r="E27" s="48"/>
      <c r="F27" s="18"/>
      <c r="G27" s="10"/>
      <c r="H27" s="10"/>
      <c r="I27" s="10"/>
    </row>
    <row r="29" spans="1:20" s="100" customFormat="1" x14ac:dyDescent="0.3">
      <c r="A29" s="118" t="s">
        <v>45</v>
      </c>
      <c r="B29" s="118"/>
      <c r="C29" s="118"/>
    </row>
    <row r="30" spans="1:20" x14ac:dyDescent="0.3">
      <c r="A30" s="42"/>
      <c r="B30" s="42"/>
    </row>
    <row r="31" spans="1:20" ht="15" thickBot="1" x14ac:dyDescent="0.35">
      <c r="A31" s="42"/>
      <c r="B31" s="42"/>
      <c r="C31" s="30" t="s">
        <v>56</v>
      </c>
      <c r="D31" s="50" t="s">
        <v>52</v>
      </c>
    </row>
    <row r="32" spans="1:20" ht="17.399999999999999" thickBot="1" x14ac:dyDescent="0.4">
      <c r="A32" s="42" t="s">
        <v>81</v>
      </c>
      <c r="B32" s="90">
        <v>1</v>
      </c>
      <c r="C32" s="114">
        <v>1</v>
      </c>
      <c r="D32" s="111">
        <v>0.6</v>
      </c>
    </row>
    <row r="33" spans="1:14" ht="17.399999999999999" thickBot="1" x14ac:dyDescent="0.4">
      <c r="A33" s="42" t="s">
        <v>82</v>
      </c>
      <c r="B33" s="90">
        <v>2</v>
      </c>
      <c r="C33" s="99">
        <v>0.3</v>
      </c>
      <c r="D33" s="111">
        <v>0.8</v>
      </c>
    </row>
    <row r="34" spans="1:14" x14ac:dyDescent="0.3">
      <c r="A34" s="42" t="s">
        <v>87</v>
      </c>
      <c r="B34" s="95">
        <f>1.35*(B32+(D6+D7+D9+D10)*10^-6*650*0.00981+(D8)*10^-6*40*0.00981)+1.5*B33</f>
        <v>7.3191926999999994</v>
      </c>
      <c r="C34" s="51" t="s">
        <v>49</v>
      </c>
    </row>
    <row r="35" spans="1:14" x14ac:dyDescent="0.3">
      <c r="A35" s="42" t="s">
        <v>90</v>
      </c>
      <c r="B35" s="2">
        <f>B34*C12^2/8</f>
        <v>32936367.149999999</v>
      </c>
      <c r="C35" s="48" t="s">
        <v>19</v>
      </c>
    </row>
    <row r="36" spans="1:14" x14ac:dyDescent="0.3">
      <c r="A36" s="42" t="s">
        <v>91</v>
      </c>
      <c r="B36" s="2">
        <f>B34*C12/2</f>
        <v>21957.578099999999</v>
      </c>
      <c r="C36" s="48" t="s">
        <v>20</v>
      </c>
    </row>
    <row r="37" spans="1:14" x14ac:dyDescent="0.3">
      <c r="A37" s="42" t="s">
        <v>88</v>
      </c>
      <c r="B37" s="113">
        <f>B32+(D6+D7+D9+D10)*10^-6*650*0.00981+(D8)*10^-6*40*0.00981+B33</f>
        <v>5.1994019999999992</v>
      </c>
      <c r="C37" s="51" t="s">
        <v>49</v>
      </c>
    </row>
    <row r="38" spans="1:14" x14ac:dyDescent="0.3">
      <c r="A38" s="42" t="s">
        <v>89</v>
      </c>
      <c r="B38" s="113">
        <f>B32+(D6+D7+D9+D10)*10^-6*650*0.00981+(D8)*10^-6*40*0.00981+C33*B33</f>
        <v>3.7994019999999997</v>
      </c>
      <c r="C38" s="51" t="s">
        <v>49</v>
      </c>
      <c r="G38" s="46"/>
      <c r="H38" s="46"/>
      <c r="I38" s="46"/>
      <c r="J38" s="51"/>
      <c r="K38" s="51"/>
      <c r="L38" s="51"/>
      <c r="N38" s="56"/>
    </row>
    <row r="39" spans="1:14" x14ac:dyDescent="0.3">
      <c r="A39" s="42"/>
      <c r="B39" s="42"/>
    </row>
    <row r="40" spans="1:14" s="100" customFormat="1" x14ac:dyDescent="0.3">
      <c r="A40" s="118" t="s">
        <v>5</v>
      </c>
      <c r="B40" s="118"/>
      <c r="C40" s="118"/>
    </row>
    <row r="42" spans="1:14" ht="16.8" x14ac:dyDescent="0.35">
      <c r="A42" s="44"/>
      <c r="B42" s="50" t="s">
        <v>31</v>
      </c>
      <c r="C42" s="50" t="s">
        <v>83</v>
      </c>
      <c r="D42" s="47" t="s">
        <v>85</v>
      </c>
      <c r="E42" s="27" t="s">
        <v>28</v>
      </c>
      <c r="F42" s="50" t="s">
        <v>29</v>
      </c>
    </row>
    <row r="43" spans="1:14" ht="15" thickBot="1" x14ac:dyDescent="0.35">
      <c r="B43" s="49">
        <f>B44</f>
        <v>420</v>
      </c>
      <c r="C43" s="43">
        <v>0</v>
      </c>
    </row>
    <row r="44" spans="1:14" x14ac:dyDescent="0.3">
      <c r="A44" s="121" t="s">
        <v>6</v>
      </c>
      <c r="B44" s="2">
        <f>B10+B9+B8+B7+B6</f>
        <v>420</v>
      </c>
      <c r="C44" s="107">
        <f>IF(0&lt;C15,-1,1)*B35/D26*(ABS(C15))*M6</f>
        <v>-1.4137343379171925</v>
      </c>
      <c r="D44" s="132">
        <f>Q6</f>
        <v>14.76923076923077</v>
      </c>
      <c r="E44" s="91">
        <f>ABS(C44)/D44</f>
        <v>9.5721595796476572E-2</v>
      </c>
      <c r="F44" s="137" t="str">
        <f>IF(ABS(C44)&gt;D44,"ROTURA!",IF(ABS(C45)&gt;D44,"ROTURA!","OK"))</f>
        <v>OK</v>
      </c>
    </row>
    <row r="45" spans="1:14" ht="15" thickBot="1" x14ac:dyDescent="0.35">
      <c r="A45" s="121"/>
      <c r="B45" s="2">
        <f>B46</f>
        <v>335</v>
      </c>
      <c r="C45" s="4">
        <f>IF(B6&lt;C15,-1,1)*B35/D26*(ABS(C15-B6))*M6</f>
        <v>-0.84150853447451934</v>
      </c>
      <c r="D45" s="132"/>
      <c r="E45" s="91">
        <f>ABS(C45)/D44</f>
        <v>5.6977140355045579E-2</v>
      </c>
      <c r="F45" s="138"/>
    </row>
    <row r="46" spans="1:14" x14ac:dyDescent="0.3">
      <c r="A46" s="121" t="s">
        <v>7</v>
      </c>
      <c r="B46" s="2">
        <f>B10+B9+B8+B7</f>
        <v>335</v>
      </c>
      <c r="C46" s="4">
        <f>IF(B6&lt;C15,-1,1)*B35/D26*(ABS(C15-B6))*M7</f>
        <v>-1.3723775548454971E-2</v>
      </c>
      <c r="D46" s="132">
        <f>Q7</f>
        <v>0</v>
      </c>
      <c r="E46" s="91" t="e">
        <f t="shared" ref="E46:E50" si="2">ABS(C46)/D46</f>
        <v>#DIV/0!</v>
      </c>
      <c r="F46" s="134" t="s">
        <v>61</v>
      </c>
    </row>
    <row r="47" spans="1:14" x14ac:dyDescent="0.3">
      <c r="A47" s="121"/>
      <c r="B47" s="2">
        <f>B48</f>
        <v>250</v>
      </c>
      <c r="C47" s="4">
        <f>IF(B6+B7&lt;C15,-1,1)*B35/D26*(ABS(B6+B7-C15))*M7</f>
        <v>-4.3916081755055909E-3</v>
      </c>
      <c r="D47" s="132"/>
      <c r="E47" s="91" t="e">
        <f>ABS(C47)/D46</f>
        <v>#DIV/0!</v>
      </c>
      <c r="F47" s="134"/>
    </row>
    <row r="48" spans="1:14" x14ac:dyDescent="0.3">
      <c r="A48" s="119" t="s">
        <v>8</v>
      </c>
      <c r="B48" s="23">
        <f>B10+B9+B8</f>
        <v>250</v>
      </c>
      <c r="C48" s="9">
        <f>IF(B6+B7&lt;C15,-1,1)*B35/D26*(ABS(B6+B7-C15))*M8</f>
        <v>-1.8658845235679377E-5</v>
      </c>
      <c r="D48" s="135">
        <f>Q8</f>
        <v>0</v>
      </c>
      <c r="E48" s="92" t="e">
        <f t="shared" si="2"/>
        <v>#DIV/0!</v>
      </c>
      <c r="F48" s="136" t="s">
        <v>61</v>
      </c>
    </row>
    <row r="49" spans="1:18" x14ac:dyDescent="0.3">
      <c r="A49" s="119"/>
      <c r="B49" s="23">
        <f>B50</f>
        <v>170</v>
      </c>
      <c r="C49" s="9">
        <f>IF(B6+B7+B8&lt;C15,-1,1)*B35/D26*(ABS(B6+B7-C15+B8))*M8</f>
        <v>1.8658845235679377E-5</v>
      </c>
      <c r="D49" s="135"/>
      <c r="E49" s="92" t="e">
        <f>ABS(C49)/D48</f>
        <v>#DIV/0!</v>
      </c>
      <c r="F49" s="136"/>
    </row>
    <row r="50" spans="1:18" x14ac:dyDescent="0.3">
      <c r="A50" s="121" t="s">
        <v>9</v>
      </c>
      <c r="B50" s="2">
        <f>B10+B9</f>
        <v>170</v>
      </c>
      <c r="C50" s="4">
        <f>IF(B6+B7+B8&lt;C15,-1,1)*B35/D26*(ABS(B6+B7-C15+B8))*M9</f>
        <v>4.3916081755055909E-3</v>
      </c>
      <c r="D50" s="132">
        <f>Q9</f>
        <v>0</v>
      </c>
      <c r="E50" s="91" t="e">
        <f t="shared" si="2"/>
        <v>#DIV/0!</v>
      </c>
      <c r="F50" s="133" t="s">
        <v>61</v>
      </c>
    </row>
    <row r="51" spans="1:18" x14ac:dyDescent="0.3">
      <c r="A51" s="121"/>
      <c r="B51" s="2">
        <f>B52</f>
        <v>85</v>
      </c>
      <c r="C51" s="4">
        <f>IF(B6+B7+B8+B9&lt;C15,-1,1)*B35/D26*(ABS(B6+B7-C15+B8+B9))*M9</f>
        <v>1.3723775548454971E-2</v>
      </c>
      <c r="D51" s="132"/>
      <c r="E51" s="28" t="e">
        <f>ABS(C51)/D50</f>
        <v>#DIV/0!</v>
      </c>
      <c r="F51" s="133"/>
    </row>
    <row r="52" spans="1:18" x14ac:dyDescent="0.3">
      <c r="A52" s="121" t="s">
        <v>10</v>
      </c>
      <c r="B52" s="2">
        <f>B10</f>
        <v>85</v>
      </c>
      <c r="C52" s="4">
        <f>IF(B6+B7+B8+B9&lt;C15,-1,1)*B35/D26*(ABS(B6+B7-C15+B8+B9))*M10</f>
        <v>0.84150853447451934</v>
      </c>
      <c r="D52" s="132">
        <f>Q10</f>
        <v>14.76923076923077</v>
      </c>
      <c r="E52" s="28">
        <f>ABS(C52)/D52</f>
        <v>5.6977140355045579E-2</v>
      </c>
      <c r="F52" s="133" t="str">
        <f t="shared" ref="F52" si="3">IF(ABS(C52)&gt;D52,"ROTURA!",IF(ABS(C53)&gt;D52,"ROTURA!","OK"))</f>
        <v>OK</v>
      </c>
    </row>
    <row r="53" spans="1:18" x14ac:dyDescent="0.3">
      <c r="A53" s="121"/>
      <c r="B53" s="2">
        <v>0</v>
      </c>
      <c r="C53" s="4">
        <f>IF(B6+B7+B8+B9+B10&lt;C15,-1,1)*B35/D26*(ABS(B6+B7-C15+B8+B9+B10))*M10</f>
        <v>1.4137343379171925</v>
      </c>
      <c r="D53" s="132"/>
      <c r="E53" s="28">
        <f>ABS(C53)/D52</f>
        <v>9.5721595796476572E-2</v>
      </c>
      <c r="F53" s="133"/>
    </row>
    <row r="54" spans="1:18" x14ac:dyDescent="0.3">
      <c r="B54" s="49">
        <f>B53</f>
        <v>0</v>
      </c>
      <c r="C54" s="49">
        <v>0</v>
      </c>
      <c r="D54" s="30" t="s">
        <v>39</v>
      </c>
      <c r="E54" s="31" t="e">
        <f>MAX(E44:E53)</f>
        <v>#DIV/0!</v>
      </c>
    </row>
    <row r="57" spans="1:18" ht="16.8" x14ac:dyDescent="0.35">
      <c r="A57" s="33"/>
      <c r="B57" s="24" t="s">
        <v>84</v>
      </c>
      <c r="C57" s="24" t="s">
        <v>2</v>
      </c>
      <c r="D57" s="47" t="s">
        <v>86</v>
      </c>
      <c r="E57" s="27" t="s">
        <v>28</v>
      </c>
      <c r="F57" s="50" t="s">
        <v>29</v>
      </c>
      <c r="Q57" s="33"/>
      <c r="R57" s="33"/>
    </row>
    <row r="58" spans="1:18" x14ac:dyDescent="0.3">
      <c r="A58" s="121" t="s">
        <v>6</v>
      </c>
      <c r="B58" s="65">
        <f>B36*M6*F76/(C6*(D26))</f>
        <v>0</v>
      </c>
      <c r="C58" s="67">
        <f>ABS(C15)</f>
        <v>210</v>
      </c>
      <c r="D58" s="123">
        <f>R6</f>
        <v>0</v>
      </c>
      <c r="E58" s="93" t="e">
        <f>B58/$D$58</f>
        <v>#DIV/0!</v>
      </c>
      <c r="F58" s="128" t="s">
        <v>61</v>
      </c>
      <c r="P58" s="67">
        <f>P60+B6</f>
        <v>420</v>
      </c>
      <c r="Q58" s="33"/>
      <c r="R58" s="33"/>
    </row>
    <row r="59" spans="1:18" x14ac:dyDescent="0.3">
      <c r="A59" s="121"/>
      <c r="B59" s="65">
        <f>B36*M6*F77/(C6*(D26))</f>
        <v>3.6002540133268181E-2</v>
      </c>
      <c r="C59" s="67">
        <f>IF(C15&lt;B6,0,ABS(C15-B6/2))</f>
        <v>167.5</v>
      </c>
      <c r="D59" s="123"/>
      <c r="E59" s="93" t="e">
        <f>B59/$D$58</f>
        <v>#DIV/0!</v>
      </c>
      <c r="F59" s="128"/>
      <c r="P59" s="67">
        <f>IF(C15&lt;B6,C13-C15,P60+B6/2)</f>
        <v>377.5</v>
      </c>
      <c r="Q59" s="33">
        <f>IF(C15&lt;B6,C13-C15,P60+B6/2)</f>
        <v>377.5</v>
      </c>
      <c r="R59" s="33"/>
    </row>
    <row r="60" spans="1:18" ht="15" thickBot="1" x14ac:dyDescent="0.35">
      <c r="A60" s="121"/>
      <c r="B60" s="65">
        <f>B36*M6*F78/(C6*(D26))</f>
        <v>6.38985480510985E-2</v>
      </c>
      <c r="C60" s="67">
        <f>ABS(C15-B6)</f>
        <v>125</v>
      </c>
      <c r="D60" s="123"/>
      <c r="E60" s="93" t="e">
        <f>B60/$D$58</f>
        <v>#DIV/0!</v>
      </c>
      <c r="F60" s="128"/>
      <c r="P60" s="67">
        <f>P61</f>
        <v>335</v>
      </c>
      <c r="Q60" s="33"/>
      <c r="R60" s="33"/>
    </row>
    <row r="61" spans="1:18" x14ac:dyDescent="0.3">
      <c r="A61" s="121" t="s">
        <v>7</v>
      </c>
      <c r="B61" s="73">
        <f>B36*(M6*F79+M7*E79)/(C7*(D26))</f>
        <v>6.38985480510985E-2</v>
      </c>
      <c r="C61" s="74">
        <f>ABS(C15-B6)</f>
        <v>125</v>
      </c>
      <c r="D61" s="123">
        <f>R7</f>
        <v>0.67692307692307696</v>
      </c>
      <c r="E61" s="93">
        <f>B61/$D$61</f>
        <v>9.4395582348213686E-2</v>
      </c>
      <c r="F61" s="129" t="str">
        <f>IF(ABS(B61)&gt;D61,"ROTURA!",IF(ABS(B62)&gt;D61,"ROTURA!",IF(ABS(B63)&gt;D61,"ROTURA!","OK")))</f>
        <v>OK</v>
      </c>
      <c r="P61" s="66">
        <f>P63+B7</f>
        <v>335</v>
      </c>
      <c r="Q61" s="33"/>
      <c r="R61" s="33"/>
    </row>
    <row r="62" spans="1:18" x14ac:dyDescent="0.3">
      <c r="A62" s="121"/>
      <c r="B62" s="73">
        <f>B36*(M6*F79+M7*E80)/(C7*(D26))</f>
        <v>6.4221285506079667E-2</v>
      </c>
      <c r="C62" s="74">
        <f>IF(C15&lt;B6+B7,IF(C15&gt;B6,0,ABS(C15-B6-B7/2)),ABS(C15-B6-B7/2))</f>
        <v>82.5</v>
      </c>
      <c r="D62" s="123"/>
      <c r="E62" s="93">
        <f>B62/$D$61</f>
        <v>9.4872353588526775E-2</v>
      </c>
      <c r="F62" s="130"/>
      <c r="P62" s="66">
        <f>IF(C15&lt;B6+B7,IF(C15&gt;B6,C13-C15,P63+B7/2),P63+B7/2)</f>
        <v>292.5</v>
      </c>
      <c r="Q62" s="33">
        <f>IF(C15&lt;B6+B7,IF(C15&gt;B6,C13-C15,P63+B7/2),P63+B7/2)</f>
        <v>292.5</v>
      </c>
      <c r="R62" s="33"/>
    </row>
    <row r="63" spans="1:18" ht="15" thickBot="1" x14ac:dyDescent="0.35">
      <c r="A63" s="121"/>
      <c r="B63" s="108">
        <f>B36*(M6*F79+M7*E81)/(C7*(D26))</f>
        <v>6.4411817256610715E-2</v>
      </c>
      <c r="C63" s="74">
        <f>ABS(C15-B6-B7)</f>
        <v>40</v>
      </c>
      <c r="D63" s="123"/>
      <c r="E63" s="93">
        <f>B63/$D$61</f>
        <v>9.5153820947265821E-2</v>
      </c>
      <c r="F63" s="131"/>
      <c r="P63" s="66">
        <f>P64</f>
        <v>250</v>
      </c>
      <c r="Q63" s="33"/>
      <c r="R63" s="33"/>
    </row>
    <row r="64" spans="1:18" x14ac:dyDescent="0.3">
      <c r="A64" s="119" t="s">
        <v>8</v>
      </c>
      <c r="B64" s="75">
        <f>B36*(M10*B82+M9*C82+M8*D82)/(C8*(D26))</f>
        <v>6.4411817256610715E-2</v>
      </c>
      <c r="C64" s="76">
        <f>ABS(C15-B6-B7)</f>
        <v>40</v>
      </c>
      <c r="D64" s="125">
        <f>R8</f>
        <v>6.5230769230769231E-2</v>
      </c>
      <c r="E64" s="94">
        <f>B64/$D$64</f>
        <v>0.98744531171690952</v>
      </c>
      <c r="F64" s="126" t="str">
        <f>IF(ABS(B64)&gt;D64,"ROTURA!",IF(ABS(B65)&gt;D64,"ROTURA!",IF(ABS(B66)&gt;D64,"ROTURA!","OK")))</f>
        <v>OK</v>
      </c>
      <c r="P64" s="67">
        <f>P66+B8</f>
        <v>250</v>
      </c>
      <c r="Q64" s="33"/>
      <c r="R64" s="33"/>
    </row>
    <row r="65" spans="1:18" x14ac:dyDescent="0.3">
      <c r="A65" s="119"/>
      <c r="B65" s="109">
        <f>B36*(M10*B82+M9*C82+M8*D83)/(C8*(D26))</f>
        <v>6.4412066041213856E-2</v>
      </c>
      <c r="C65" s="76">
        <f>IF(C15&lt;B6+B7+B8,IF(C15&gt;B6+B7,0,ABS(C15-B6-B7-B8/2)),ABS(C15-B6-B7-B8/2))</f>
        <v>0</v>
      </c>
      <c r="D65" s="125"/>
      <c r="E65" s="94">
        <f>B65/$D$64</f>
        <v>0.98744912563181619</v>
      </c>
      <c r="F65" s="126"/>
      <c r="P65" s="67">
        <f>IF(C15&lt;B6+B7+B8,IF(C15&gt;B6+B7,C13-C15,P66+B8/2),P66+B8/2)</f>
        <v>210</v>
      </c>
      <c r="Q65" s="33">
        <f>IF(C15&lt;B6+B7+B8,IF(C15&gt;B6+B7,C13-C15,P66+B8/2),P66+B8/2)</f>
        <v>210</v>
      </c>
      <c r="R65" s="33"/>
    </row>
    <row r="66" spans="1:18" ht="15" thickBot="1" x14ac:dyDescent="0.35">
      <c r="A66" s="119"/>
      <c r="B66" s="75">
        <f>B36*(M10*B82+M9*C82+M8*D84)/(C8*(D26))</f>
        <v>6.4411817256610715E-2</v>
      </c>
      <c r="C66" s="76">
        <f>ABS(C15-B6-B7-B8)</f>
        <v>40</v>
      </c>
      <c r="D66" s="125"/>
      <c r="E66" s="94">
        <f>B66/$D$64</f>
        <v>0.98744531171690952</v>
      </c>
      <c r="F66" s="127"/>
      <c r="P66" s="67">
        <f>P67</f>
        <v>170</v>
      </c>
      <c r="Q66" s="33"/>
      <c r="R66" s="33"/>
    </row>
    <row r="67" spans="1:18" x14ac:dyDescent="0.3">
      <c r="A67" s="121" t="s">
        <v>9</v>
      </c>
      <c r="B67" s="63">
        <f>B36*(M10*B85+M9*C85)/(C9*(D26))</f>
        <v>6.4411817256610715E-2</v>
      </c>
      <c r="C67" s="74">
        <f>ABS(C15-B6-B7-B8)</f>
        <v>40</v>
      </c>
      <c r="D67" s="123">
        <f>R9</f>
        <v>0.67692307692307696</v>
      </c>
      <c r="E67" s="29">
        <f>B67/$D$67</f>
        <v>9.5153820947265821E-2</v>
      </c>
      <c r="F67" s="124" t="str">
        <f>IF(ABS(B67)&gt;D67,"ROTURA!",IF(ABS(B68)&gt;D67,"ROTURA!",IF(ABS(B69)&gt;D67,"ROTURA!","OK")))</f>
        <v>OK</v>
      </c>
      <c r="P67" s="66">
        <f>P69+B9</f>
        <v>170</v>
      </c>
      <c r="Q67" s="33"/>
      <c r="R67" s="33"/>
    </row>
    <row r="68" spans="1:18" x14ac:dyDescent="0.3">
      <c r="A68" s="121"/>
      <c r="B68" s="73">
        <f>B36*(M10*B85+M9*C86)/(C9*(D26))</f>
        <v>6.4221285506079667E-2</v>
      </c>
      <c r="C68" s="74">
        <f>IF(C15&lt;B6+B7+B8+B9,IF(C15&gt;B6+B7+B8,0,ABS(C15-B6-B7-B8-B9/2)),ABS(C15-B6-B7-B8-B9/2))</f>
        <v>82.5</v>
      </c>
      <c r="D68" s="123"/>
      <c r="E68" s="29">
        <f>B68/$D$67</f>
        <v>9.4872353588526775E-2</v>
      </c>
      <c r="F68" s="124"/>
      <c r="P68" s="66">
        <f>IF(C15&lt;B6+B7+B8+B9,IF(C15&gt;B6+B7+B8,C13-C15,P69+B9/2),P69+B9/2)</f>
        <v>127.5</v>
      </c>
      <c r="Q68" s="33">
        <f>IF(C15&lt;B6+B7+B8+B9,IF(C15&gt;B6+B7+B8,C13-C15,P69+B9/2),P69+B9/2)</f>
        <v>127.5</v>
      </c>
      <c r="R68" s="33"/>
    </row>
    <row r="69" spans="1:18" x14ac:dyDescent="0.3">
      <c r="A69" s="121"/>
      <c r="B69" s="73">
        <f>B36*(M10*B85+M9*C87)/(C9*(D26))</f>
        <v>6.38985480510985E-2</v>
      </c>
      <c r="C69" s="74">
        <f>ABS(C15-B6-B7-B8-B9)</f>
        <v>125</v>
      </c>
      <c r="D69" s="123"/>
      <c r="E69" s="29">
        <f>B69/$D$67</f>
        <v>9.4395582348213686E-2</v>
      </c>
      <c r="F69" s="124"/>
      <c r="P69" s="66">
        <f>P70</f>
        <v>85</v>
      </c>
      <c r="Q69" s="33"/>
      <c r="R69" s="33"/>
    </row>
    <row r="70" spans="1:18" x14ac:dyDescent="0.3">
      <c r="A70" s="121" t="s">
        <v>10</v>
      </c>
      <c r="B70" s="63">
        <f>B36*M10*B88/(C10*(D26))</f>
        <v>6.38985480510985E-2</v>
      </c>
      <c r="C70" s="67">
        <f>ABS(C15-B6-B7-B8-B9)</f>
        <v>125</v>
      </c>
      <c r="D70" s="123">
        <f>R10</f>
        <v>0</v>
      </c>
      <c r="E70" s="29" t="e">
        <f>B70/$D$70</f>
        <v>#DIV/0!</v>
      </c>
      <c r="F70" s="124" t="s">
        <v>61</v>
      </c>
      <c r="P70" s="67">
        <f>B10</f>
        <v>85</v>
      </c>
      <c r="Q70" s="33"/>
      <c r="R70" s="33"/>
    </row>
    <row r="71" spans="1:18" x14ac:dyDescent="0.3">
      <c r="A71" s="121"/>
      <c r="B71" s="65">
        <f>B36*M10*B89/(C10*(D26))</f>
        <v>3.6002540133268181E-2</v>
      </c>
      <c r="C71" s="67">
        <f>IF(C15&lt;B6+B7+B8+B9+B10,IF(C15&gt;B6+B7+B8+B9,0,ABS(C15-B6-B7-B8-B9-B10/2)),ABS(C15-B6-B7-B8-B9-B10/2))</f>
        <v>167.5</v>
      </c>
      <c r="D71" s="123"/>
      <c r="E71" s="29" t="e">
        <f>B71/$D$70</f>
        <v>#DIV/0!</v>
      </c>
      <c r="F71" s="124"/>
      <c r="P71" s="67">
        <f>IF(C15&lt;B6+B7+B8+B9+B10,IF(C15&gt;B6+B7+B8+B9,C13-C15,P72+B10/2),P72+B10/2)</f>
        <v>42.5</v>
      </c>
      <c r="Q71" s="33">
        <f>IF(C15&lt;B6+B7+B8+B9+B10,IF(C15&gt;B6+B7+B8+B9,C13-C15,P72+B10/2),P72+B10/2)</f>
        <v>42.5</v>
      </c>
      <c r="R71" s="33"/>
    </row>
    <row r="72" spans="1:18" x14ac:dyDescent="0.3">
      <c r="A72" s="121"/>
      <c r="B72" s="65">
        <f>B36*M10*B90/(C10*(D26))</f>
        <v>0</v>
      </c>
      <c r="C72" s="67">
        <f>ABS(C15-B6-B7-B8-B9-B10)</f>
        <v>210</v>
      </c>
      <c r="D72" s="123"/>
      <c r="E72" s="29" t="e">
        <f>B72/$D$70</f>
        <v>#DIV/0!</v>
      </c>
      <c r="F72" s="124"/>
      <c r="P72" s="67">
        <f>0</f>
        <v>0</v>
      </c>
      <c r="Q72" s="33"/>
      <c r="R72" s="33"/>
    </row>
    <row r="73" spans="1:18" x14ac:dyDescent="0.3">
      <c r="A73" s="33"/>
      <c r="B73" s="33"/>
      <c r="D73" s="30" t="s">
        <v>40</v>
      </c>
      <c r="E73" s="32" t="e">
        <f>MAX(E58:E72)</f>
        <v>#DIV/0!</v>
      </c>
      <c r="G73" s="33"/>
      <c r="H73" s="33"/>
      <c r="I73" s="33"/>
      <c r="J73" s="33"/>
      <c r="K73" s="33"/>
      <c r="L73" s="33"/>
      <c r="M73" s="33"/>
      <c r="O73" s="24"/>
      <c r="Q73" s="33"/>
      <c r="R73" s="33"/>
    </row>
    <row r="74" spans="1:18" x14ac:dyDescent="0.3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</row>
    <row r="75" spans="1:18" x14ac:dyDescent="0.3">
      <c r="A75" s="33" t="s">
        <v>30</v>
      </c>
      <c r="B75" s="24" t="s">
        <v>22</v>
      </c>
      <c r="C75" s="24" t="s">
        <v>23</v>
      </c>
      <c r="D75" s="24" t="s">
        <v>24</v>
      </c>
      <c r="E75" s="24" t="s">
        <v>25</v>
      </c>
      <c r="F75" s="24" t="s">
        <v>26</v>
      </c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3">
      <c r="A76" s="121" t="s">
        <v>6</v>
      </c>
      <c r="B76" s="54"/>
      <c r="C76" s="54"/>
      <c r="D76" s="54"/>
      <c r="E76" s="54"/>
      <c r="F76" s="54">
        <f>C6*(C15^2/2-C58^2/2)</f>
        <v>0</v>
      </c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3">
      <c r="A77" s="121"/>
      <c r="B77" s="54"/>
      <c r="C77" s="54"/>
      <c r="D77" s="54"/>
      <c r="E77" s="54"/>
      <c r="F77" s="54">
        <f>C6*(C15^2/2-C59^2/2)</f>
        <v>8021875</v>
      </c>
    </row>
    <row r="78" spans="1:18" x14ac:dyDescent="0.3">
      <c r="A78" s="121"/>
      <c r="B78" s="34"/>
      <c r="C78" s="34"/>
      <c r="D78" s="34"/>
      <c r="E78" s="34"/>
      <c r="F78" s="54">
        <f>C6*(C15^2/2-C60^2/2)</f>
        <v>14237500</v>
      </c>
    </row>
    <row r="79" spans="1:18" x14ac:dyDescent="0.3">
      <c r="A79" s="121" t="s">
        <v>7</v>
      </c>
      <c r="B79" s="54"/>
      <c r="C79" s="54"/>
      <c r="D79" s="54"/>
      <c r="E79" s="54">
        <f>C7*(C15^2/2-C15*B6+B6^2/2-C61^2/2)</f>
        <v>0</v>
      </c>
      <c r="F79" s="122">
        <f>C6*(C15*B6-B6^2/2)</f>
        <v>14237500</v>
      </c>
    </row>
    <row r="80" spans="1:18" x14ac:dyDescent="0.3">
      <c r="A80" s="121"/>
      <c r="B80" s="54"/>
      <c r="C80" s="54"/>
      <c r="D80" s="54"/>
      <c r="E80" s="54">
        <f>C7*(C15^2/2-C15*B6+B6^2/2-C62^2/2)</f>
        <v>4409375</v>
      </c>
      <c r="F80" s="122"/>
    </row>
    <row r="81" spans="1:6" x14ac:dyDescent="0.3">
      <c r="A81" s="121"/>
      <c r="B81" s="34"/>
      <c r="C81" s="34"/>
      <c r="D81" s="34"/>
      <c r="E81" s="54">
        <f>C7*(C15^2/2-C15*B6+B6^2/2-C63^2/2)</f>
        <v>7012500</v>
      </c>
      <c r="F81" s="122"/>
    </row>
    <row r="82" spans="1:6" x14ac:dyDescent="0.3">
      <c r="A82" s="119" t="s">
        <v>8</v>
      </c>
      <c r="B82" s="120">
        <f>C10*(C13*B10-C15*B10-B10^2/2)</f>
        <v>14237500</v>
      </c>
      <c r="C82" s="120">
        <f>C9*(C13*B9-C15*B9-B10*B9-B9^2/2)</f>
        <v>7012500</v>
      </c>
      <c r="D82" s="72">
        <f>C8*(C13^2/2-C13*(C15+B10+B9)+C15^2/2+C15*(B10+B9)+B10^2/2+B10*B9+B9^2/2-C64^2/2)</f>
        <v>0</v>
      </c>
      <c r="E82" s="72"/>
      <c r="F82" s="72"/>
    </row>
    <row r="83" spans="1:6" x14ac:dyDescent="0.3">
      <c r="A83" s="119"/>
      <c r="B83" s="120"/>
      <c r="C83" s="120"/>
      <c r="D83" s="72">
        <f>C8*(C13^2/2-C13*(C15+B10+B9)+C15^2/2+C15*(B10+B9)+B10^2/2+B10*B9+B9^2/2-C65^2/2)</f>
        <v>800000</v>
      </c>
      <c r="E83" s="72"/>
      <c r="F83" s="72"/>
    </row>
    <row r="84" spans="1:6" x14ac:dyDescent="0.3">
      <c r="A84" s="119"/>
      <c r="B84" s="120"/>
      <c r="C84" s="120"/>
      <c r="D84" s="72">
        <f>C8*(C13^2/2-C13*(C15+B10+B9)+C15^2/2+C15*(B10+B9)+B10^2/2+B10*B9+B9^2/2-C66^2/2)</f>
        <v>0</v>
      </c>
      <c r="E84" s="72"/>
      <c r="F84" s="72"/>
    </row>
    <row r="85" spans="1:6" x14ac:dyDescent="0.3">
      <c r="A85" s="121" t="s">
        <v>9</v>
      </c>
      <c r="B85" s="122">
        <f>C10*(C13*B10-C15*B10-B10^2/2)</f>
        <v>14237500</v>
      </c>
      <c r="C85" s="54">
        <f>C9*(C13^2/2-C13*(C15+B10)+C15^2/2+C15*B10+B10^2/2-C67^2/2)</f>
        <v>7012500</v>
      </c>
      <c r="D85" s="54"/>
      <c r="E85" s="54"/>
      <c r="F85" s="54"/>
    </row>
    <row r="86" spans="1:6" x14ac:dyDescent="0.3">
      <c r="A86" s="121"/>
      <c r="B86" s="122"/>
      <c r="C86" s="54">
        <f>C9*(C13^2/2-C13*(C15+B10)+C15^2/2+C15*B10+B10^2/2-C68^2/2)</f>
        <v>4409375</v>
      </c>
      <c r="D86" s="54"/>
      <c r="E86" s="54"/>
      <c r="F86" s="54"/>
    </row>
    <row r="87" spans="1:6" x14ac:dyDescent="0.3">
      <c r="A87" s="121"/>
      <c r="B87" s="122"/>
      <c r="C87" s="54">
        <f>C9*(C13^2/2-C13*(C15+B10)+C15^2/2+C15*B10+B10^2/2-C69^2/2)</f>
        <v>0</v>
      </c>
      <c r="D87" s="34"/>
      <c r="E87" s="34"/>
      <c r="F87" s="34"/>
    </row>
    <row r="88" spans="1:6" x14ac:dyDescent="0.3">
      <c r="A88" s="121" t="s">
        <v>10</v>
      </c>
      <c r="B88" s="54">
        <f>C10*(C13^2/2-C13*C15+C15^2/2-C70^2/2)</f>
        <v>14237500</v>
      </c>
      <c r="C88" s="54"/>
      <c r="D88" s="54"/>
      <c r="E88" s="54"/>
      <c r="F88" s="54"/>
    </row>
    <row r="89" spans="1:6" x14ac:dyDescent="0.3">
      <c r="A89" s="121"/>
      <c r="B89" s="54">
        <f>C10*(C13^2/2-C13*C15+C15^2/2-C71^2/2)</f>
        <v>8021875</v>
      </c>
      <c r="C89" s="54"/>
      <c r="D89" s="54"/>
      <c r="E89" s="54"/>
      <c r="F89" s="54"/>
    </row>
    <row r="90" spans="1:6" x14ac:dyDescent="0.3">
      <c r="A90" s="121"/>
      <c r="B90" s="54">
        <f>C10*(C13^2/2-C13*C15+C15^2/2-C72^2/2)</f>
        <v>0</v>
      </c>
      <c r="C90" s="54"/>
      <c r="D90" s="54"/>
      <c r="E90" s="54"/>
      <c r="F90" s="54"/>
    </row>
    <row r="92" spans="1:6" s="100" customFormat="1" x14ac:dyDescent="0.3">
      <c r="A92" s="118" t="s">
        <v>38</v>
      </c>
      <c r="B92" s="118"/>
      <c r="C92" s="118"/>
      <c r="D92" s="103"/>
    </row>
    <row r="93" spans="1:6" x14ac:dyDescent="0.3">
      <c r="B93" s="49"/>
    </row>
    <row r="94" spans="1:6" ht="15" thickBot="1" x14ac:dyDescent="0.35">
      <c r="A94" s="50" t="s">
        <v>71</v>
      </c>
      <c r="B94" s="69">
        <f>SLS_inst!B36</f>
        <v>7.5251757614146788</v>
      </c>
      <c r="C94" s="7" t="s">
        <v>12</v>
      </c>
    </row>
    <row r="95" spans="1:6" ht="15" thickBot="1" x14ac:dyDescent="0.35">
      <c r="A95" s="50" t="s">
        <v>72</v>
      </c>
      <c r="B95" s="13">
        <f>SLS_inst!B39</f>
        <v>20</v>
      </c>
      <c r="C95" s="21" t="s">
        <v>60</v>
      </c>
      <c r="D95" s="88" t="str">
        <f>IF(B94&gt;B95,"NÃO VERIFICA","OK")</f>
        <v>OK</v>
      </c>
    </row>
    <row r="96" spans="1:6" x14ac:dyDescent="0.3">
      <c r="B96" s="7"/>
      <c r="C96" s="7"/>
    </row>
    <row r="97" spans="1:5" ht="15" thickBot="1" x14ac:dyDescent="0.35">
      <c r="A97" s="50" t="s">
        <v>73</v>
      </c>
      <c r="B97" s="69">
        <f>SLS_fin!B37</f>
        <v>21.707289002278255</v>
      </c>
      <c r="C97" s="7" t="s">
        <v>12</v>
      </c>
      <c r="E97" s="45"/>
    </row>
    <row r="98" spans="1:5" ht="15" thickBot="1" x14ac:dyDescent="0.35">
      <c r="A98" s="50" t="s">
        <v>74</v>
      </c>
      <c r="B98" s="13">
        <f>SLS_fin!B40</f>
        <v>40</v>
      </c>
      <c r="C98" s="21" t="s">
        <v>67</v>
      </c>
      <c r="D98" s="88" t="str">
        <f>IF(B97&gt;B98,"NÃO VERIFICA","OK")</f>
        <v>OK</v>
      </c>
    </row>
    <row r="100" spans="1:5" s="100" customFormat="1" x14ac:dyDescent="0.3">
      <c r="B100" s="104" t="s">
        <v>75</v>
      </c>
    </row>
    <row r="102" spans="1:5" x14ac:dyDescent="0.3">
      <c r="B102" s="143" t="s">
        <v>76</v>
      </c>
      <c r="C102" s="143"/>
      <c r="D102" s="96" t="str">
        <f>F44</f>
        <v>OK</v>
      </c>
    </row>
    <row r="103" spans="1:5" x14ac:dyDescent="0.3">
      <c r="B103" s="143" t="s">
        <v>77</v>
      </c>
      <c r="C103" s="143"/>
      <c r="D103" s="97" t="str">
        <f>F61</f>
        <v>OK</v>
      </c>
    </row>
    <row r="104" spans="1:5" x14ac:dyDescent="0.3">
      <c r="B104" s="143" t="s">
        <v>78</v>
      </c>
      <c r="C104" s="143"/>
      <c r="D104" s="97" t="str">
        <f>F64</f>
        <v>OK</v>
      </c>
    </row>
    <row r="105" spans="1:5" x14ac:dyDescent="0.3">
      <c r="B105" s="143" t="s">
        <v>79</v>
      </c>
      <c r="C105" s="143"/>
      <c r="D105" s="98" t="str">
        <f>D95</f>
        <v>OK</v>
      </c>
    </row>
    <row r="106" spans="1:5" x14ac:dyDescent="0.3">
      <c r="B106" s="143" t="s">
        <v>80</v>
      </c>
      <c r="C106" s="143"/>
      <c r="D106" s="98" t="str">
        <f>D98</f>
        <v>OK</v>
      </c>
    </row>
  </sheetData>
  <sheetProtection algorithmName="SHA-512" hashValue="Nawww2ap198jCJIiYV+C+Iw30+lUiccAC+mBvg9w1iogWyUf2j+tKOsOZUE1DE3A2JFZ8Te/hjRmg54r530Lhw==" saltValue="w7y1ESv68p1gc/vfwUGsOQ==" spinCount="100000" sheet="1" objects="1" scenarios="1"/>
  <protectedRanges>
    <protectedRange sqref="C33" name="Intervalo7"/>
    <protectedRange sqref="B32:B33" name="Intervalo5"/>
    <protectedRange sqref="O6" name="Intervalo3"/>
    <protectedRange sqref="B6:B8" name="Intervalo1"/>
    <protectedRange sqref="K6:L7" name="Intervalo2"/>
    <protectedRange sqref="P7" name="Intervalo4"/>
    <protectedRange sqref="D32:D33" name="Intervalo6"/>
  </protectedRanges>
  <mergeCells count="62">
    <mergeCell ref="B102:C102"/>
    <mergeCell ref="B103:C103"/>
    <mergeCell ref="B104:C104"/>
    <mergeCell ref="B105:C105"/>
    <mergeCell ref="B106:C106"/>
    <mergeCell ref="O3:O5"/>
    <mergeCell ref="P3:P5"/>
    <mergeCell ref="H6:H10"/>
    <mergeCell ref="R3:R5"/>
    <mergeCell ref="N3:N5"/>
    <mergeCell ref="Q3:Q5"/>
    <mergeCell ref="F44:F45"/>
    <mergeCell ref="A2:C2"/>
    <mergeCell ref="E3:E4"/>
    <mergeCell ref="M3:M5"/>
    <mergeCell ref="G6:G10"/>
    <mergeCell ref="K3:K5"/>
    <mergeCell ref="L3:L5"/>
    <mergeCell ref="A17:C17"/>
    <mergeCell ref="A29:C29"/>
    <mergeCell ref="A40:C40"/>
    <mergeCell ref="A44:A45"/>
    <mergeCell ref="D44:D45"/>
    <mergeCell ref="A46:A47"/>
    <mergeCell ref="D46:D47"/>
    <mergeCell ref="F46:F47"/>
    <mergeCell ref="A48:A49"/>
    <mergeCell ref="D48:D49"/>
    <mergeCell ref="F48:F49"/>
    <mergeCell ref="A50:A51"/>
    <mergeCell ref="D50:D51"/>
    <mergeCell ref="F50:F51"/>
    <mergeCell ref="A52:A53"/>
    <mergeCell ref="D52:D53"/>
    <mergeCell ref="F52:F53"/>
    <mergeCell ref="A58:A60"/>
    <mergeCell ref="D58:D60"/>
    <mergeCell ref="F58:F60"/>
    <mergeCell ref="A61:A63"/>
    <mergeCell ref="D61:D63"/>
    <mergeCell ref="F61:F63"/>
    <mergeCell ref="D64:D66"/>
    <mergeCell ref="F64:F66"/>
    <mergeCell ref="A67:A69"/>
    <mergeCell ref="D67:D69"/>
    <mergeCell ref="F67:F69"/>
    <mergeCell ref="S3:S5"/>
    <mergeCell ref="T3:T5"/>
    <mergeCell ref="A92:C92"/>
    <mergeCell ref="A82:A84"/>
    <mergeCell ref="B82:B84"/>
    <mergeCell ref="C82:C84"/>
    <mergeCell ref="A85:A87"/>
    <mergeCell ref="B85:B87"/>
    <mergeCell ref="A88:A90"/>
    <mergeCell ref="A70:A72"/>
    <mergeCell ref="D70:D72"/>
    <mergeCell ref="F70:F72"/>
    <mergeCell ref="A76:A78"/>
    <mergeCell ref="A79:A81"/>
    <mergeCell ref="F79:F81"/>
    <mergeCell ref="A64:A6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="70" zoomScaleNormal="70" workbookViewId="0">
      <selection activeCell="C11" sqref="C11"/>
    </sheetView>
  </sheetViews>
  <sheetFormatPr defaultRowHeight="14.4" x14ac:dyDescent="0.3"/>
  <cols>
    <col min="1" max="1" width="22.109375" style="48" customWidth="1"/>
    <col min="2" max="2" width="22.88671875" style="48" customWidth="1"/>
    <col min="3" max="3" width="24.109375" style="48" customWidth="1"/>
    <col min="4" max="4" width="23.6640625" style="48" customWidth="1"/>
    <col min="5" max="5" width="16.5546875" style="48" customWidth="1"/>
    <col min="6" max="6" width="13.109375" style="48" customWidth="1"/>
    <col min="7" max="7" width="10.44140625" style="48" customWidth="1"/>
    <col min="8" max="8" width="10.6640625" style="48" customWidth="1"/>
    <col min="9" max="9" width="10.109375" style="48" customWidth="1"/>
    <col min="10" max="10" width="9.88671875" style="48" customWidth="1"/>
    <col min="11" max="11" width="10.5546875" style="48" customWidth="1"/>
    <col min="12" max="12" width="10" style="48" customWidth="1"/>
    <col min="13" max="13" width="9.5546875" style="48" customWidth="1"/>
    <col min="14" max="14" width="12" style="48" bestFit="1" customWidth="1"/>
    <col min="15" max="16384" width="8.88671875" style="48"/>
  </cols>
  <sheetData>
    <row r="1" spans="1:13" ht="16.2" customHeight="1" x14ac:dyDescent="0.3">
      <c r="I1" s="52"/>
      <c r="J1" s="52"/>
      <c r="K1" s="52"/>
    </row>
    <row r="2" spans="1:13" ht="17.25" customHeight="1" x14ac:dyDescent="0.3">
      <c r="A2" s="144" t="s">
        <v>3</v>
      </c>
      <c r="B2" s="144"/>
      <c r="C2" s="144"/>
      <c r="E2" s="139" t="s">
        <v>37</v>
      </c>
      <c r="F2" s="117" t="s">
        <v>54</v>
      </c>
      <c r="G2" s="117" t="s">
        <v>55</v>
      </c>
      <c r="I2" s="52"/>
      <c r="J2" s="52"/>
      <c r="K2" s="52"/>
      <c r="M2" s="52"/>
    </row>
    <row r="3" spans="1:13" ht="17.25" customHeight="1" x14ac:dyDescent="0.3">
      <c r="E3" s="139"/>
      <c r="F3" s="117"/>
      <c r="G3" s="117"/>
      <c r="I3" s="52"/>
      <c r="J3" s="52"/>
      <c r="K3" s="52"/>
      <c r="M3" s="52"/>
    </row>
    <row r="4" spans="1:13" ht="16.2" x14ac:dyDescent="0.3">
      <c r="A4" s="50"/>
      <c r="B4" s="50" t="s">
        <v>1</v>
      </c>
      <c r="C4" s="50" t="s">
        <v>0</v>
      </c>
      <c r="D4" s="50" t="s">
        <v>34</v>
      </c>
      <c r="E4" s="50" t="s">
        <v>35</v>
      </c>
      <c r="F4" s="117"/>
      <c r="G4" s="117"/>
      <c r="I4" s="52"/>
      <c r="J4" s="52"/>
      <c r="K4" s="52"/>
      <c r="M4" s="52"/>
    </row>
    <row r="5" spans="1:13" ht="14.4" customHeight="1" x14ac:dyDescent="0.3">
      <c r="A5" s="11" t="str">
        <f>ULS!A6</f>
        <v>Lamela 5</v>
      </c>
      <c r="B5" s="11">
        <f>ULS!B6</f>
        <v>85</v>
      </c>
      <c r="C5" s="11">
        <f>ULS!C6</f>
        <v>1000</v>
      </c>
      <c r="D5" s="11">
        <f>ULS!D6</f>
        <v>85000</v>
      </c>
      <c r="E5" s="11">
        <f>ULS!E6</f>
        <v>3612500</v>
      </c>
      <c r="F5" s="13">
        <f>ULS!K6</f>
        <v>11000</v>
      </c>
      <c r="G5" s="13">
        <f>ULS!L6</f>
        <v>690</v>
      </c>
      <c r="I5" s="52"/>
      <c r="J5" s="52"/>
      <c r="K5" s="52"/>
      <c r="M5" s="52"/>
    </row>
    <row r="6" spans="1:13" x14ac:dyDescent="0.3">
      <c r="A6" s="11" t="str">
        <f>ULS!A7</f>
        <v>Lamela 4</v>
      </c>
      <c r="B6" s="11">
        <f>ULS!B7</f>
        <v>85</v>
      </c>
      <c r="C6" s="11">
        <f>ULS!C7</f>
        <v>1000</v>
      </c>
      <c r="D6" s="11">
        <f>ULS!D7</f>
        <v>85000</v>
      </c>
      <c r="E6" s="11">
        <f>ULS!E7</f>
        <v>10837500</v>
      </c>
      <c r="F6" s="13">
        <f>ULS!K7</f>
        <v>370</v>
      </c>
      <c r="G6" s="13">
        <f>ULS!L7</f>
        <v>69</v>
      </c>
      <c r="I6" s="52"/>
      <c r="J6" s="52"/>
      <c r="K6" s="52"/>
      <c r="M6" s="52"/>
    </row>
    <row r="7" spans="1:13" x14ac:dyDescent="0.3">
      <c r="A7" s="11" t="str">
        <f>ULS!A8</f>
        <v>Lamela 3</v>
      </c>
      <c r="B7" s="11">
        <f>ULS!B8</f>
        <v>80</v>
      </c>
      <c r="C7" s="11">
        <f>ULS!C8</f>
        <v>1000</v>
      </c>
      <c r="D7" s="11">
        <f>ULS!D8</f>
        <v>80000</v>
      </c>
      <c r="E7" s="11">
        <f>ULS!E8</f>
        <v>16800000</v>
      </c>
      <c r="F7" s="13">
        <f>ULS!K8</f>
        <v>3.8109999999999999</v>
      </c>
      <c r="G7" s="13">
        <f>ULS!L8</f>
        <v>3.012</v>
      </c>
      <c r="I7" s="52"/>
      <c r="J7" s="52"/>
      <c r="K7" s="52"/>
      <c r="M7" s="52"/>
    </row>
    <row r="8" spans="1:13" x14ac:dyDescent="0.3">
      <c r="A8" s="11" t="str">
        <f>ULS!A9</f>
        <v>Lamela 2</v>
      </c>
      <c r="B8" s="11">
        <f>ULS!B9</f>
        <v>85</v>
      </c>
      <c r="C8" s="11">
        <f>ULS!C9</f>
        <v>1000</v>
      </c>
      <c r="D8" s="11">
        <f>ULS!D9</f>
        <v>85000</v>
      </c>
      <c r="E8" s="11">
        <f>ULS!E9</f>
        <v>24862500</v>
      </c>
      <c r="F8" s="13">
        <f>ULS!K9</f>
        <v>370</v>
      </c>
      <c r="G8" s="13">
        <f>ULS!L9</f>
        <v>69</v>
      </c>
      <c r="I8" s="52"/>
      <c r="J8" s="52"/>
      <c r="K8" s="52"/>
      <c r="M8" s="52"/>
    </row>
    <row r="9" spans="1:13" x14ac:dyDescent="0.3">
      <c r="A9" s="11" t="str">
        <f>ULS!A10</f>
        <v>Lamela 1</v>
      </c>
      <c r="B9" s="11">
        <f>ULS!B10</f>
        <v>85</v>
      </c>
      <c r="C9" s="11">
        <f>ULS!C10</f>
        <v>1000</v>
      </c>
      <c r="D9" s="11">
        <f>ULS!D10</f>
        <v>85000</v>
      </c>
      <c r="E9" s="11">
        <f>ULS!E10</f>
        <v>32087500</v>
      </c>
      <c r="F9" s="13">
        <f>ULS!K10</f>
        <v>11000</v>
      </c>
      <c r="G9" s="13">
        <f>ULS!L10</f>
        <v>690</v>
      </c>
      <c r="I9" s="52"/>
      <c r="J9" s="52"/>
      <c r="K9" s="52"/>
      <c r="M9" s="52"/>
    </row>
    <row r="10" spans="1:13" ht="15" thickBot="1" x14ac:dyDescent="0.35">
      <c r="I10" s="52"/>
      <c r="J10" s="52"/>
      <c r="K10" s="52"/>
      <c r="L10" s="52"/>
      <c r="M10" s="52"/>
    </row>
    <row r="11" spans="1:13" ht="15" thickBot="1" x14ac:dyDescent="0.35">
      <c r="B11" s="42" t="s">
        <v>18</v>
      </c>
      <c r="C11" s="112">
        <f>ULS!C12</f>
        <v>6000</v>
      </c>
      <c r="D11" s="48" t="s">
        <v>12</v>
      </c>
      <c r="E11" s="5"/>
      <c r="I11" s="52"/>
      <c r="J11" s="52"/>
      <c r="K11" s="52"/>
      <c r="L11" s="52"/>
      <c r="M11" s="52"/>
    </row>
    <row r="12" spans="1:13" x14ac:dyDescent="0.3">
      <c r="B12" s="42" t="s">
        <v>36</v>
      </c>
      <c r="C12" s="68">
        <f>SUM(B5:B9)</f>
        <v>420</v>
      </c>
      <c r="D12" s="48" t="s">
        <v>12</v>
      </c>
      <c r="I12" s="52"/>
      <c r="J12" s="52"/>
      <c r="K12" s="52"/>
    </row>
    <row r="13" spans="1:13" x14ac:dyDescent="0.3">
      <c r="B13" s="42" t="s">
        <v>21</v>
      </c>
      <c r="C13" s="6">
        <f>C5</f>
        <v>1000</v>
      </c>
      <c r="D13" s="48" t="s">
        <v>12</v>
      </c>
      <c r="I13" s="52"/>
      <c r="J13" s="52"/>
      <c r="K13" s="52"/>
    </row>
    <row r="14" spans="1:13" x14ac:dyDescent="0.3">
      <c r="A14" s="41"/>
      <c r="B14" s="42" t="s">
        <v>42</v>
      </c>
      <c r="C14" s="19">
        <f>(F5*E5+F6*E6+F7*E7+F8*E8+F9*E9)/(F5*B5*C5+F6*B6*C6+F7*B7*C7+F8*B8*C8+F9*B9*C9)</f>
        <v>210</v>
      </c>
      <c r="D14" s="48" t="s">
        <v>12</v>
      </c>
    </row>
    <row r="15" spans="1:13" x14ac:dyDescent="0.3">
      <c r="A15" s="26"/>
      <c r="B15" s="42"/>
      <c r="C15" s="42"/>
    </row>
    <row r="16" spans="1:13" x14ac:dyDescent="0.3">
      <c r="B16" s="3"/>
      <c r="C16" s="3"/>
      <c r="D16" s="3"/>
    </row>
    <row r="17" spans="1:16" x14ac:dyDescent="0.3">
      <c r="A17" s="144" t="s">
        <v>4</v>
      </c>
      <c r="B17" s="144"/>
      <c r="C17" s="144"/>
      <c r="D17" s="3"/>
      <c r="E17" s="7"/>
    </row>
    <row r="18" spans="1:16" x14ac:dyDescent="0.3">
      <c r="A18" s="21"/>
      <c r="B18" s="21" t="s">
        <v>14</v>
      </c>
      <c r="C18" s="21" t="s">
        <v>11</v>
      </c>
      <c r="D18" s="21" t="s">
        <v>16</v>
      </c>
    </row>
    <row r="19" spans="1:16" x14ac:dyDescent="0.3">
      <c r="A19" s="21"/>
      <c r="B19" s="21" t="s">
        <v>15</v>
      </c>
      <c r="C19" s="49" t="s">
        <v>27</v>
      </c>
      <c r="D19" s="21" t="s">
        <v>17</v>
      </c>
    </row>
    <row r="20" spans="1:16" ht="16.2" x14ac:dyDescent="0.3">
      <c r="A20" s="49"/>
      <c r="B20" s="50" t="s">
        <v>13</v>
      </c>
      <c r="C20" s="50" t="s">
        <v>32</v>
      </c>
      <c r="D20" s="22" t="s">
        <v>33</v>
      </c>
      <c r="E20" s="22" t="s">
        <v>33</v>
      </c>
      <c r="G20" s="44"/>
    </row>
    <row r="21" spans="1:16" x14ac:dyDescent="0.3">
      <c r="A21" s="11" t="s">
        <v>6</v>
      </c>
      <c r="B21" s="13">
        <f>ABS(C14-B5/2)</f>
        <v>167.5</v>
      </c>
      <c r="C21" s="2">
        <f>C5*B5^3/12+D5*B21^2</f>
        <v>2435958333.3333335</v>
      </c>
      <c r="D21" s="37">
        <f>C21*F5</f>
        <v>26795541666666.668</v>
      </c>
    </row>
    <row r="22" spans="1:16" x14ac:dyDescent="0.3">
      <c r="A22" s="11" t="s">
        <v>7</v>
      </c>
      <c r="B22" s="13">
        <f>ABS(C14-B5-B6/2)</f>
        <v>82.5</v>
      </c>
      <c r="C22" s="2">
        <f>C6*B6^3/12+D6*B22^2</f>
        <v>629708333.33333337</v>
      </c>
      <c r="D22" s="37">
        <f>C22*F6</f>
        <v>232992083333.33334</v>
      </c>
      <c r="G22" s="44"/>
    </row>
    <row r="23" spans="1:16" x14ac:dyDescent="0.3">
      <c r="A23" s="12" t="s">
        <v>8</v>
      </c>
      <c r="B23" s="14">
        <f>ABS(C14-B5-B6-B7/2)</f>
        <v>0</v>
      </c>
      <c r="C23" s="23">
        <f>C7*B7^3/12+D7*B23^2</f>
        <v>42666666.666666664</v>
      </c>
      <c r="D23" s="38">
        <f>C23*F7</f>
        <v>162602666.66666666</v>
      </c>
      <c r="L23" s="26"/>
    </row>
    <row r="24" spans="1:16" x14ac:dyDescent="0.3">
      <c r="A24" s="11" t="s">
        <v>9</v>
      </c>
      <c r="B24" s="13">
        <f>ABS(C14-B5-B6-B7-B8/2)</f>
        <v>82.5</v>
      </c>
      <c r="C24" s="2">
        <f>C8*B8^3/12+D8*B24^2</f>
        <v>629708333.33333337</v>
      </c>
      <c r="D24" s="37">
        <f>C24*F8</f>
        <v>232992083333.33334</v>
      </c>
      <c r="F24" s="42"/>
      <c r="H24" s="49"/>
      <c r="L24" s="42"/>
      <c r="O24" s="45"/>
    </row>
    <row r="25" spans="1:16" x14ac:dyDescent="0.3">
      <c r="A25" s="11" t="s">
        <v>10</v>
      </c>
      <c r="B25" s="13">
        <f>ABS(C14-B5-B6-B7-B8-B9/2)</f>
        <v>167.5</v>
      </c>
      <c r="C25" s="2">
        <f>C9*B9^3/12+D9*B25^2</f>
        <v>2435958333.3333335</v>
      </c>
      <c r="D25" s="37">
        <f>C25*F9</f>
        <v>26795541666666.668</v>
      </c>
      <c r="E25" s="49"/>
      <c r="F25" s="55"/>
      <c r="H25" s="42"/>
      <c r="L25" s="42"/>
      <c r="O25" s="45"/>
    </row>
    <row r="26" spans="1:16" s="16" customFormat="1" ht="15.6" x14ac:dyDescent="0.35">
      <c r="A26" s="17"/>
      <c r="B26" s="43"/>
      <c r="D26" s="20">
        <f>SUM(D21:D25)</f>
        <v>54057230102666.672</v>
      </c>
      <c r="E26" s="39" t="s">
        <v>41</v>
      </c>
      <c r="F26" s="40">
        <f>60*gci*gdo*gqu*gtr*gum*kclt^2/(b*(8*h^5*etr^2*gci*gdo*gqu*gum-40*h^4*(n*etr-edo*hdo+etr*(hdo+hum)-eum*hum)*etr*gci*gdo*gqu*gum+20*h^3*(4*n^2*etr^2-8*n*(edo*hdo-etr*(hdo+hum)+eum*hum)*etr+3*edo^2*hdo^2-edo*(etr*(7*hdo+8*hum)-6*eum*hum)*hdo+4*etr^2*(hdo^2+2*hdo*hum+hum^2)-etr*eum*(6*hdo+7*hum)*hum+3*eum^2*hum^2)*gci*gdo*gqu*gum-20*h^2*(4*n^3*etr^2*gdo*gum-12*n^2*(edo*hdo-etr*(hdo+hum)+eum*hum)*etr*gdo*gum+3*n*(3*edo^2*hdo^2-edo*(etr*(7*hdo+8*hum)-6*eum*hum)*hdo+4*etr^2*(hdo^2+2*hdo*hum+hum^2)-etr*eum*(6*hdo+7*hum)*hum+3*eum^2*hum^2)*gdo*gum+edo^2*(3*gdo*(2*hdo+3*hum)-gtr*hdo)*gum*hdo^2-3*edo*(etr*gdo*(3*hdo^2+7*hdo*hum+4*hum^2)-eum*(gdo*(3*hdo+5*hum)-gtr*hdo)*hum)*gum*hdo+4*etr^2*gdo*gum*(hdo+hum)*(hdo^2+2*hdo*hum+hum^2)-3*etr*eum*gdo*gum*(2*hdo^2+5*hdo*hum+3*hum^2)*hum-eum^2*(gdo*(gtr*hum-3*gum*(hdo+2*hum))+3*gtr*gum*hdo)*hum^2)*gci*gqu+5*h*(8*n^4*etr^2*gdo*gum-32*n^3*(edo*hdo-etr*(hdo+hum)+eum*hum)*etr*gdo*gum+12*n^2*(3*edo^2*hdo^2-edo*(etr*(7*hdo+8*hum)-6*eum*hum)*hdo+4*etr^2*(hdo^2+2*hdo*hum+hum^2)-etr*eum*(6*hdo+7*hum)*hum+3*eum^2*hum^2)*gdo*gum+8*n*(edo^2*(3*gdo*(2*hdo+3*hum)-gtr*hdo)*gum*hdo^2-3*edo*(etr*gdo*(3*hdo^2+7*hdo*hum+4*hum^2)-eum*(gdo*(3*hdo+5*hum)-gtr*hdo)*hum)*gum*hdo+4*etr^2*gdo*gum*(hdo+hum)*(hdo^2+2*hdo*hum+hum^2)-3*etr*eum*gdo*gum*(2*hdo^2+5*hdo*hum+3*hum^2)*hum-eum^2*(gdo*(gtr*hum-3*gum*(hdo+2*hum))+3*gtr*gum*hdo)*hum^2)+edo^2*(3*gdo*(hdo+2*hum)*(5*hdo+6*hum)-gtr*hdo*(3*hdo+8*hum))*gum*hdo^2-2*edo*(2*etr*gdo*(5*hdo^3+18*hdo^2*hum+21*hdo*hum^2+8*hum^3)-eum*(3*gdo*(2*hdo^2+9*hdo*hum+8*hum^2)-gtr*hdo*(2*hdo+9*hum))*hum)*gum*hdo+8*etr^2*gdo*gum*(hdo^2+2*hdo*hum+hum^2)^2-4*etr*eum*gdo*gum*(2*hdo^3+9*hdo^2*hum+12*hdo*hum^2+5*hum^3)*hum-3*eum^2*(gdo*(gtr*hum-gum*(4*hdo+5*hum))+4*gtr*gum*hdo)*hum^3)*gci*gqu+40*n^4*(eci*hci+edo*hdo+equ*hqu-etr*(hci+hdo+hqu+hum)+eum*hum)*etr*gci*gdo*gqu*gum+20*n^3*(3*eci^2*hci^2+eci*(6*equ*hqu-etr*(7*hci+6*hqu))*hci-3*edo^2*hdo^2+edo*(etr*(7*hdo+8*hum)-6*eum*hum)*hdo+3*equ^2*hqu^2-equ*etr*(8*hci+7*hqu)*hqu+4*etr^2*(hci^2+2*hci*hqu-hdo^2-2*hdo*hum+hqu^2-hum^2)+etr*eum*(6*hdo+7*hum)*hum-3*eum^2*hum^2)*gci*gdo*gqu*gum-20*n^2*(eci^2*(3*gci*(gqu*(2*hci+hqu)-gtr*hqu)-gqu*gtr*hci)*gdo*gum*hci^2+3*eci*(equ*(gqu*(5*hci+3*hqu)-gtr*hqu)*hqu-etr*gqu*(3*hci^2+5*hci*hqu+2*hqu^2))*gci*gdo*gum*hci+(edo^2*(3*gdo*(2*hdo+3*hum)-gtr*hdo)*gqu*gum*hdo^2-3*edo*(etr*gdo*(3*hdo^2+7*hdo*hum+4*hum^2)-eum*(gdo*(3*hdo+5*hum)-gtr*hdo)*hum)*gqu*gum*hdo+equ^2*gdo*(3*gqu*(3*hci+2*hqu)-gtr*hqu)*gum*hqu^2-3*equ*etr*gdo*gqu*gum*(4*hci^2+7*hci*hqu+3*hqu^2)*hqu+(4*etr^2*gdo*gum*(hci^3+3*hci^2*hqu+3*hci*hqu^2+hdo^3+3*hdo^2*hum+3*hdo*hum^2+hqu^3+hum^3)-3*etr*eum*gdo*gum*(2*hdo^2+5*hdo*hum+3*hum^2)*hum-eum^2*(gdo*(gtr*hum-3*gum*(hdo+2*hum))+3*gtr*gum*hdo)*hum^2)*gqu)*gci)+5*n*(3*eci^2*(gci*(gqu*(5*hci+4*hqu)-4*gtr*hqu)-gqu*gtr*hci)*gdo*gum*hci^3+2*eci*(equ*(3*gqu*(8*hci^2+9*hci*hqu+2*hqu^2)-gtr*(9*hci+2*hqu)*hqu)*hqu-2*etr*gqu*(5*hci^3+12*hci^2*hqu+9*hci*hqu^2+2*hqu^3))*gci*gdo*gum*hci-(edo^2*(3*gdo*(hdo+2*hum)*(5*hdo+6*hum)-gtr*hdo*(3*hdo+8*hum))*gqu*gum*hdo^2-2*edo*(2*etr*gdo*(5*hdo^3+18*hdo^2*hum+21*hdo*hum^2+8*hum^3)-eum*(3*gdo*(2*hdo^2+9*hdo*hum+8*hum^2)-gtr*hdo*(2*hdo+9*hum))*hum)*gqu*gum*hdo-equ^2*gdo*(3*gqu*(2*hci+hqu)*(6*hci+5*hqu)-gtr*(8*hci+3*hqu)*hqu)*gum*hqu^2+4*equ*etr*gdo*gqu*gum*(8*hci^3+21*hci^2*hqu+18*hci*hqu^2+5*hqu^3)*hqu-(8*etr^2*gdo*gum*(hci^4+4*hci^3*hqu+6*hci^2*hqu^2+4*hci*hqu^3-hdo^4-4*hdo^3*hum-6*hdo^2*hum^2-4*hdo*hum^3+hqu^4-hum^4)+4*etr*eum*gdo*gum*(2*hdo^3+9*hdo^2*hum+12*hdo*hum^2+5*hum^3)*hum+3*eum^2*(gdo*(gtr*hum-gum*(4*hdo+5*hum))+4*gtr*gum*hdo)*hum^3)*gqu)*gci)-3*eci^2*(5*gci*(gqu*(hci+hqu)-gtr*hqu)-gqu*gtr*hci)*gdo*gum*hci^4-10*eci*(equ*(3*gqu*(hci+hqu)*(2*hci+hqu)-gtr*(3*hci+hqu)*hqu)*hqu-2*etr*gqu*(hci+hqu)*(hci^2+2*hci*hqu+hqu^2))*gci*gdo*gum*hci^2-(edo^2*(15*gdo*(hdo+hum)*(hdo+2*hum)^2-gtr*hdo*(3*hdo^2+15*hdo*hum+20*hum^2))*gqu*gum*hdo^2-10*edo*(2*etr*gdo*(hdo+hum)*(hdo+2*hum)*(hdo^2+2*hdo*hum+hum^2)-eum*(3*gdo*(hdo+hum)*(hdo+2*hum)-gtr*hdo*(hdo+3*hum))*hum^2)*gqu*gum*hdo+equ^2*gdo*(15*gqu*(hci+hqu)*(2*hci+hqu)^2-gtr*(20*hci^2+15*hci*hqu+3*hqu^2)*hqu)*gum*hqu^2-20*equ*etr*gdo*gqu*gum*(hci+hqu)*(2*hci+hqu)*(hci^2+2*hci*hqu+hqu^2)*hqu+(8*etr^2*gdo*gum*(hci^5+5*hci^4*hqu+10*hci^3*hqu^2+10*hci^2*hqu^3+5*hci*hqu^4+hdo^5+5*hdo^4*hum+10*hdo^3*hum^2+10*hdo^2*hum^3+5*hdo*hum^4+hqu^5+hum^5)-20*etr*eum*gdo*gum*(hdo+hum)*(hdo^2+2*hdo*hum+hum^2)*hum^2-3*eum^2*(gdo*(gtr*hum-5*gum*(hdo+hum))+5*gtr*gum*hdo)*hum^4)*gqu)*gci))</f>
        <v>3964246.1354202386</v>
      </c>
      <c r="H26" s="15"/>
      <c r="J26" s="48"/>
      <c r="L26" s="42"/>
      <c r="N26" s="48"/>
      <c r="O26" s="45"/>
      <c r="P26" s="48"/>
    </row>
    <row r="27" spans="1:16" s="16" customFormat="1" ht="15.6" x14ac:dyDescent="0.35">
      <c r="A27" s="17"/>
      <c r="B27" s="15"/>
      <c r="D27" s="39" t="s">
        <v>51</v>
      </c>
      <c r="E27" s="48"/>
      <c r="F27" s="18"/>
      <c r="G27" s="10"/>
    </row>
    <row r="28" spans="1:16" x14ac:dyDescent="0.3">
      <c r="A28" s="144" t="s">
        <v>45</v>
      </c>
      <c r="B28" s="144"/>
      <c r="C28" s="144"/>
    </row>
    <row r="29" spans="1:16" ht="15" thickBot="1" x14ac:dyDescent="0.35">
      <c r="A29" s="42"/>
      <c r="B29" s="42"/>
    </row>
    <row r="30" spans="1:16" ht="15" thickBot="1" x14ac:dyDescent="0.35">
      <c r="A30" s="42" t="s">
        <v>63</v>
      </c>
      <c r="B30" s="77">
        <f>ULS!B37</f>
        <v>5.1994019999999992</v>
      </c>
      <c r="C30" s="51" t="s">
        <v>49</v>
      </c>
      <c r="G30" s="46"/>
      <c r="H30" s="51"/>
      <c r="J30" s="56"/>
    </row>
    <row r="31" spans="1:16" x14ac:dyDescent="0.3">
      <c r="A31" s="42"/>
      <c r="B31" s="42"/>
    </row>
    <row r="32" spans="1:16" x14ac:dyDescent="0.3">
      <c r="A32" s="144" t="s">
        <v>62</v>
      </c>
      <c r="B32" s="144"/>
      <c r="C32" s="144"/>
      <c r="D32" s="46"/>
    </row>
    <row r="33" spans="1:6" x14ac:dyDescent="0.3">
      <c r="B33" s="49"/>
      <c r="F33" s="49"/>
    </row>
    <row r="34" spans="1:6" x14ac:dyDescent="0.3">
      <c r="A34" s="50" t="s">
        <v>46</v>
      </c>
      <c r="B34" s="8">
        <f>5*B30*C11^4/(384*kclt)</f>
        <v>1.6230929439662825</v>
      </c>
      <c r="C34" s="48" t="s">
        <v>12</v>
      </c>
      <c r="D34" s="53">
        <f>B34/B36</f>
        <v>0.21568837664745158</v>
      </c>
    </row>
    <row r="35" spans="1:6" x14ac:dyDescent="0.3">
      <c r="A35" s="50" t="s">
        <v>47</v>
      </c>
      <c r="B35" s="8">
        <f>B30*C11^2/8/F26</f>
        <v>5.9020828174483961</v>
      </c>
      <c r="C35" s="48" t="s">
        <v>12</v>
      </c>
      <c r="D35" s="53">
        <f>B35/B36</f>
        <v>0.78431162335254845</v>
      </c>
    </row>
    <row r="36" spans="1:6" x14ac:dyDescent="0.3">
      <c r="A36" s="50" t="s">
        <v>48</v>
      </c>
      <c r="B36" s="69">
        <f>B34+B35</f>
        <v>7.5251757614146788</v>
      </c>
      <c r="C36" s="48" t="s">
        <v>12</v>
      </c>
    </row>
    <row r="37" spans="1:6" ht="15.6" x14ac:dyDescent="0.3">
      <c r="B37" s="55"/>
      <c r="C37" s="12" t="str">
        <f>IF(B36&gt;B39,"NÃO VERIFICA","OK")</f>
        <v>OK</v>
      </c>
      <c r="D37" s="78"/>
    </row>
    <row r="39" spans="1:6" x14ac:dyDescent="0.3">
      <c r="A39" s="50" t="s">
        <v>50</v>
      </c>
      <c r="B39" s="62">
        <f>C11/300</f>
        <v>20</v>
      </c>
      <c r="C39" s="50" t="s">
        <v>60</v>
      </c>
      <c r="E39" s="45"/>
    </row>
  </sheetData>
  <sheetProtection algorithmName="SHA-512" hashValue="MuPWV1GLwIABm2EyhJ4JnyCPyc0I7gINmuyn/e98uTQYHtiSCW90UA1FTUJv78SMCubaMDMq5IEY4hfHDh0Reg==" saltValue="rBPtGRUCLlKpiFbbxdKjHg==" spinCount="100000" sheet="1" objects="1" scenarios="1"/>
  <mergeCells count="7">
    <mergeCell ref="G2:G4"/>
    <mergeCell ref="A32:C32"/>
    <mergeCell ref="A17:C17"/>
    <mergeCell ref="A28:C28"/>
    <mergeCell ref="A2:C2"/>
    <mergeCell ref="E2:E3"/>
    <mergeCell ref="F2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="70" zoomScaleNormal="70" workbookViewId="0">
      <selection activeCell="C12" sqref="C12"/>
    </sheetView>
  </sheetViews>
  <sheetFormatPr defaultRowHeight="14.4" x14ac:dyDescent="0.3"/>
  <cols>
    <col min="1" max="1" width="22.109375" style="48" customWidth="1"/>
    <col min="2" max="2" width="22.88671875" style="48" customWidth="1"/>
    <col min="3" max="3" width="24.109375" style="48" customWidth="1"/>
    <col min="4" max="4" width="23.6640625" style="48" customWidth="1"/>
    <col min="5" max="5" width="16.5546875" style="48" customWidth="1"/>
    <col min="6" max="6" width="13.109375" style="48" customWidth="1"/>
    <col min="7" max="7" width="15.6640625" style="48" customWidth="1"/>
    <col min="8" max="8" width="10.6640625" style="48" customWidth="1"/>
    <col min="9" max="9" width="10.109375" style="48" customWidth="1"/>
    <col min="10" max="10" width="9.88671875" style="48" customWidth="1"/>
    <col min="11" max="11" width="10.5546875" style="48" customWidth="1"/>
    <col min="12" max="12" width="10" style="48" customWidth="1"/>
    <col min="13" max="13" width="9.5546875" style="48" customWidth="1"/>
    <col min="14" max="14" width="12" style="48" bestFit="1" customWidth="1"/>
    <col min="15" max="16384" width="8.88671875" style="48"/>
  </cols>
  <sheetData>
    <row r="1" spans="1:13" ht="16.2" customHeight="1" x14ac:dyDescent="0.3">
      <c r="I1" s="52"/>
      <c r="J1" s="52"/>
      <c r="K1" s="52"/>
    </row>
    <row r="2" spans="1:13" ht="17.25" customHeight="1" x14ac:dyDescent="0.3">
      <c r="A2" s="144" t="s">
        <v>3</v>
      </c>
      <c r="B2" s="144"/>
      <c r="C2" s="144"/>
      <c r="E2" s="139" t="s">
        <v>37</v>
      </c>
      <c r="F2" s="117" t="s">
        <v>68</v>
      </c>
      <c r="G2" s="117" t="s">
        <v>69</v>
      </c>
      <c r="I2" s="52"/>
      <c r="J2" s="52"/>
      <c r="K2" s="52"/>
      <c r="M2" s="52"/>
    </row>
    <row r="3" spans="1:13" ht="17.25" customHeight="1" x14ac:dyDescent="0.3">
      <c r="E3" s="139"/>
      <c r="F3" s="117"/>
      <c r="G3" s="117"/>
      <c r="I3" s="52"/>
      <c r="J3" s="52"/>
      <c r="K3" s="52"/>
      <c r="M3" s="52"/>
    </row>
    <row r="4" spans="1:13" ht="16.2" x14ac:dyDescent="0.3">
      <c r="A4" s="50"/>
      <c r="B4" s="50" t="s">
        <v>1</v>
      </c>
      <c r="C4" s="50" t="s">
        <v>0</v>
      </c>
      <c r="D4" s="50" t="s">
        <v>34</v>
      </c>
      <c r="E4" s="50" t="s">
        <v>35</v>
      </c>
      <c r="F4" s="117"/>
      <c r="G4" s="117"/>
      <c r="I4" s="52"/>
      <c r="J4" s="52"/>
      <c r="K4" s="52"/>
      <c r="M4" s="52"/>
    </row>
    <row r="5" spans="1:13" ht="14.4" customHeight="1" x14ac:dyDescent="0.3">
      <c r="A5" s="11" t="str">
        <f>ULS!A6</f>
        <v>Lamela 5</v>
      </c>
      <c r="B5" s="11">
        <f>ULS!B6</f>
        <v>85</v>
      </c>
      <c r="C5" s="11">
        <f>ULS!C6</f>
        <v>1000</v>
      </c>
      <c r="D5" s="11">
        <f>ULS!D6</f>
        <v>85000</v>
      </c>
      <c r="E5" s="11">
        <f>ULS!E6</f>
        <v>3612500</v>
      </c>
      <c r="F5" s="13">
        <f>ULS!S6</f>
        <v>9322.033898305086</v>
      </c>
      <c r="G5" s="13">
        <f>ULS!T6</f>
        <v>584.74576271186447</v>
      </c>
      <c r="I5" s="52"/>
      <c r="J5" s="52"/>
      <c r="K5" s="52"/>
      <c r="M5" s="52"/>
    </row>
    <row r="6" spans="1:13" x14ac:dyDescent="0.3">
      <c r="A6" s="11" t="str">
        <f>ULS!A7</f>
        <v>Lamela 4</v>
      </c>
      <c r="B6" s="11">
        <f>ULS!B7</f>
        <v>85</v>
      </c>
      <c r="C6" s="11">
        <f>ULS!C7</f>
        <v>1000</v>
      </c>
      <c r="D6" s="11">
        <f>ULS!D7</f>
        <v>85000</v>
      </c>
      <c r="E6" s="11">
        <f>ULS!E7</f>
        <v>10837500</v>
      </c>
      <c r="F6" s="13">
        <f>ULS!S7</f>
        <v>218.93491124260356</v>
      </c>
      <c r="G6" s="13">
        <f>ULS!T7</f>
        <v>40.828402366863905</v>
      </c>
      <c r="I6" s="52"/>
      <c r="J6" s="52"/>
      <c r="K6" s="52"/>
      <c r="M6" s="52"/>
    </row>
    <row r="7" spans="1:13" x14ac:dyDescent="0.3">
      <c r="A7" s="11" t="str">
        <f>ULS!A8</f>
        <v>Lamela 3</v>
      </c>
      <c r="B7" s="11">
        <f>ULS!B8</f>
        <v>80</v>
      </c>
      <c r="C7" s="11">
        <f>ULS!C8</f>
        <v>1000</v>
      </c>
      <c r="D7" s="11">
        <f>ULS!D8</f>
        <v>80000</v>
      </c>
      <c r="E7" s="11">
        <f>ULS!E8</f>
        <v>16800000</v>
      </c>
      <c r="F7" s="13">
        <f>ULS!S8</f>
        <v>1.2293548387096773</v>
      </c>
      <c r="G7" s="13">
        <f>ULS!T8</f>
        <v>0.9716129032258064</v>
      </c>
      <c r="I7" s="52"/>
      <c r="J7" s="52"/>
      <c r="K7" s="52"/>
      <c r="M7" s="52"/>
    </row>
    <row r="8" spans="1:13" x14ac:dyDescent="0.3">
      <c r="A8" s="11" t="str">
        <f>ULS!A9</f>
        <v>Lamela 2</v>
      </c>
      <c r="B8" s="11">
        <f>ULS!B9</f>
        <v>85</v>
      </c>
      <c r="C8" s="11">
        <f>ULS!C9</f>
        <v>1000</v>
      </c>
      <c r="D8" s="11">
        <f>ULS!D9</f>
        <v>85000</v>
      </c>
      <c r="E8" s="11">
        <f>ULS!E9</f>
        <v>24862500</v>
      </c>
      <c r="F8" s="13">
        <f>ULS!S9</f>
        <v>218.93491124260356</v>
      </c>
      <c r="G8" s="13">
        <f>ULS!T9</f>
        <v>40.828402366863905</v>
      </c>
      <c r="I8" s="52"/>
      <c r="J8" s="52"/>
      <c r="K8" s="52"/>
      <c r="M8" s="52"/>
    </row>
    <row r="9" spans="1:13" x14ac:dyDescent="0.3">
      <c r="A9" s="11" t="str">
        <f>ULS!A10</f>
        <v>Lamela 1</v>
      </c>
      <c r="B9" s="11">
        <f>ULS!B10</f>
        <v>85</v>
      </c>
      <c r="C9" s="11">
        <f>ULS!C10</f>
        <v>1000</v>
      </c>
      <c r="D9" s="11">
        <f>ULS!D10</f>
        <v>85000</v>
      </c>
      <c r="E9" s="11">
        <f>ULS!E10</f>
        <v>32087500</v>
      </c>
      <c r="F9" s="13">
        <f>ULS!S10</f>
        <v>9322.033898305086</v>
      </c>
      <c r="G9" s="13">
        <f>ULS!T10</f>
        <v>584.74576271186447</v>
      </c>
      <c r="I9" s="52"/>
      <c r="J9" s="52"/>
      <c r="K9" s="52"/>
      <c r="M9" s="52"/>
    </row>
    <row r="10" spans="1:13" ht="15" thickBot="1" x14ac:dyDescent="0.35">
      <c r="I10" s="52"/>
      <c r="J10" s="52"/>
      <c r="K10" s="52"/>
      <c r="L10" s="52"/>
      <c r="M10" s="52"/>
    </row>
    <row r="11" spans="1:13" ht="15" thickBot="1" x14ac:dyDescent="0.35">
      <c r="B11" s="42" t="s">
        <v>18</v>
      </c>
      <c r="C11" s="112">
        <f>ULS!C12</f>
        <v>6000</v>
      </c>
      <c r="D11" s="48" t="s">
        <v>12</v>
      </c>
      <c r="E11" s="5"/>
      <c r="I11" s="52"/>
      <c r="J11" s="52"/>
      <c r="K11" s="52"/>
      <c r="L11" s="52"/>
      <c r="M11" s="52"/>
    </row>
    <row r="12" spans="1:13" x14ac:dyDescent="0.3">
      <c r="B12" s="42" t="s">
        <v>36</v>
      </c>
      <c r="C12" s="68">
        <f>SUM(B5:B9)</f>
        <v>420</v>
      </c>
      <c r="D12" s="48" t="s">
        <v>12</v>
      </c>
      <c r="I12" s="52"/>
      <c r="J12" s="52"/>
      <c r="K12" s="52"/>
    </row>
    <row r="13" spans="1:13" x14ac:dyDescent="0.3">
      <c r="B13" s="42" t="s">
        <v>21</v>
      </c>
      <c r="C13" s="6">
        <f>C5</f>
        <v>1000</v>
      </c>
      <c r="D13" s="48" t="s">
        <v>12</v>
      </c>
      <c r="I13" s="52"/>
      <c r="J13" s="52"/>
      <c r="K13" s="52"/>
    </row>
    <row r="14" spans="1:13" x14ac:dyDescent="0.3">
      <c r="A14" s="41"/>
      <c r="B14" s="42" t="s">
        <v>42</v>
      </c>
      <c r="C14" s="19">
        <f>(F5*E5+F6*E6+F7*E7+F8*E8+F9*E9)/(F5*B5*C5+F6*B6*C6+F7*B7*C7+F8*B8*C8+F9*B9*C9)</f>
        <v>209.99999999999994</v>
      </c>
      <c r="D14" s="48" t="s">
        <v>12</v>
      </c>
    </row>
    <row r="15" spans="1:13" x14ac:dyDescent="0.3">
      <c r="A15" s="26"/>
      <c r="B15" s="42"/>
      <c r="C15" s="42"/>
      <c r="D15" s="86"/>
    </row>
    <row r="16" spans="1:13" x14ac:dyDescent="0.3">
      <c r="B16" s="3"/>
      <c r="C16" s="3"/>
      <c r="D16" s="3"/>
    </row>
    <row r="17" spans="1:16" x14ac:dyDescent="0.3">
      <c r="A17" s="144" t="s">
        <v>4</v>
      </c>
      <c r="B17" s="144"/>
      <c r="C17" s="144"/>
      <c r="D17" s="3"/>
      <c r="E17" s="7"/>
    </row>
    <row r="18" spans="1:16" x14ac:dyDescent="0.3">
      <c r="A18" s="21"/>
      <c r="B18" s="21" t="s">
        <v>14</v>
      </c>
      <c r="C18" s="21" t="s">
        <v>11</v>
      </c>
      <c r="D18" s="21" t="s">
        <v>16</v>
      </c>
    </row>
    <row r="19" spans="1:16" x14ac:dyDescent="0.3">
      <c r="A19" s="21"/>
      <c r="B19" s="21" t="s">
        <v>15</v>
      </c>
      <c r="C19" s="49" t="s">
        <v>27</v>
      </c>
      <c r="D19" s="21" t="s">
        <v>17</v>
      </c>
    </row>
    <row r="20" spans="1:16" ht="16.2" x14ac:dyDescent="0.3">
      <c r="A20" s="49"/>
      <c r="B20" s="50" t="s">
        <v>13</v>
      </c>
      <c r="C20" s="50" t="s">
        <v>32</v>
      </c>
      <c r="D20" s="22" t="s">
        <v>33</v>
      </c>
      <c r="E20" s="22" t="s">
        <v>33</v>
      </c>
      <c r="G20" s="44"/>
    </row>
    <row r="21" spans="1:16" x14ac:dyDescent="0.3">
      <c r="A21" s="11" t="s">
        <v>6</v>
      </c>
      <c r="B21" s="13">
        <f>ABS(C14-B5/2)</f>
        <v>167.49999999999994</v>
      </c>
      <c r="C21" s="2">
        <f>C5*B5^3/12+D5*B21^2</f>
        <v>2435958333.3333321</v>
      </c>
      <c r="D21" s="37">
        <f>C21*F5</f>
        <v>22708086158192.082</v>
      </c>
    </row>
    <row r="22" spans="1:16" x14ac:dyDescent="0.3">
      <c r="A22" s="11" t="s">
        <v>7</v>
      </c>
      <c r="B22" s="13">
        <f>ABS(C14-B5-B6/2)</f>
        <v>82.499999999999943</v>
      </c>
      <c r="C22" s="2">
        <f>C6*B6^3/12+D6*B22^2</f>
        <v>629708333.33333266</v>
      </c>
      <c r="D22" s="37">
        <f>C22*F6</f>
        <v>137865138067.061</v>
      </c>
      <c r="G22" s="44"/>
    </row>
    <row r="23" spans="1:16" x14ac:dyDescent="0.3">
      <c r="A23" s="12" t="s">
        <v>8</v>
      </c>
      <c r="B23" s="14">
        <f>ABS(C14-B5-B6-B7/2)</f>
        <v>5.6843418860808015E-14</v>
      </c>
      <c r="C23" s="23">
        <f>C7*B7^3/12+D7*B23^2</f>
        <v>42666666.666666664</v>
      </c>
      <c r="D23" s="38">
        <f>C23*F7</f>
        <v>52452473.118279561</v>
      </c>
      <c r="L23" s="26"/>
    </row>
    <row r="24" spans="1:16" x14ac:dyDescent="0.3">
      <c r="A24" s="11" t="s">
        <v>9</v>
      </c>
      <c r="B24" s="13">
        <f>ABS(C14-B5-B6-B7-B8/2)</f>
        <v>82.500000000000057</v>
      </c>
      <c r="C24" s="2">
        <f>C8*B8^3/12+D8*B24^2</f>
        <v>629708333.33333409</v>
      </c>
      <c r="D24" s="37">
        <f>C24*F8</f>
        <v>137865138067.06131</v>
      </c>
      <c r="F24" s="42"/>
      <c r="H24" s="49"/>
      <c r="L24" s="42"/>
      <c r="O24" s="45"/>
    </row>
    <row r="25" spans="1:16" x14ac:dyDescent="0.3">
      <c r="A25" s="11" t="s">
        <v>10</v>
      </c>
      <c r="B25" s="13">
        <f>ABS(C14-B5-B6-B7-B8-B9/2)</f>
        <v>167.50000000000006</v>
      </c>
      <c r="C25" s="2">
        <f>C9*B9^3/12+D9*B25^2</f>
        <v>2435958333.3333349</v>
      </c>
      <c r="D25" s="37">
        <f>C25*F9</f>
        <v>22708086158192.109</v>
      </c>
      <c r="E25" s="49"/>
      <c r="F25" s="55"/>
      <c r="H25" s="42"/>
      <c r="L25" s="42"/>
      <c r="O25" s="45"/>
    </row>
    <row r="26" spans="1:16" s="16" customFormat="1" ht="15.6" x14ac:dyDescent="0.35">
      <c r="A26" s="17"/>
      <c r="B26" s="43"/>
      <c r="D26" s="20">
        <f>SUM(D21:D25)</f>
        <v>45691955044991.437</v>
      </c>
      <c r="E26" s="39" t="s">
        <v>41</v>
      </c>
      <c r="F26" s="40">
        <f>60*gci*gdo*gqu*gtr*gum*kclt^2/(b*(8*h^5*etr^2*gci*gdo*gqu*gum-40*h^4*(n*etr-edo*hdo+etr*(hdo+hum)-eum*hum)*etr*gci*gdo*gqu*gum+20*h^3*(4*n^2*etr^2-8*n*(edo*hdo-etr*(hdo+hum)+eum*hum)*etr+3*edo^2*hdo^2-edo*(etr*(7*hdo+8*hum)-6*eum*hum)*hdo+4*etr^2*(hdo^2+2*hdo*hum+hum^2)-etr*eum*(6*hdo+7*hum)*hum+3*eum^2*hum^2)*gci*gdo*gqu*gum-20*h^2*(4*n^3*etr^2*gdo*gum-12*n^2*(edo*hdo-etr*(hdo+hum)+eum*hum)*etr*gdo*gum+3*n*(3*edo^2*hdo^2-edo*(etr*(7*hdo+8*hum)-6*eum*hum)*hdo+4*etr^2*(hdo^2+2*hdo*hum+hum^2)-etr*eum*(6*hdo+7*hum)*hum+3*eum^2*hum^2)*gdo*gum+edo^2*(3*gdo*(2*hdo+3*hum)-gtr*hdo)*gum*hdo^2-3*edo*(etr*gdo*(3*hdo^2+7*hdo*hum+4*hum^2)-eum*(gdo*(3*hdo+5*hum)-gtr*hdo)*hum)*gum*hdo+4*etr^2*gdo*gum*(hdo+hum)*(hdo^2+2*hdo*hum+hum^2)-3*etr*eum*gdo*gum*(2*hdo^2+5*hdo*hum+3*hum^2)*hum-eum^2*(gdo*(gtr*hum-3*gum*(hdo+2*hum))+3*gtr*gum*hdo)*hum^2)*gci*gqu+5*h*(8*n^4*etr^2*gdo*gum-32*n^3*(edo*hdo-etr*(hdo+hum)+eum*hum)*etr*gdo*gum+12*n^2*(3*edo^2*hdo^2-edo*(etr*(7*hdo+8*hum)-6*eum*hum)*hdo+4*etr^2*(hdo^2+2*hdo*hum+hum^2)-etr*eum*(6*hdo+7*hum)*hum+3*eum^2*hum^2)*gdo*gum+8*n*(edo^2*(3*gdo*(2*hdo+3*hum)-gtr*hdo)*gum*hdo^2-3*edo*(etr*gdo*(3*hdo^2+7*hdo*hum+4*hum^2)-eum*(gdo*(3*hdo+5*hum)-gtr*hdo)*hum)*gum*hdo+4*etr^2*gdo*gum*(hdo+hum)*(hdo^2+2*hdo*hum+hum^2)-3*etr*eum*gdo*gum*(2*hdo^2+5*hdo*hum+3*hum^2)*hum-eum^2*(gdo*(gtr*hum-3*gum*(hdo+2*hum))+3*gtr*gum*hdo)*hum^2)+edo^2*(3*gdo*(hdo+2*hum)*(5*hdo+6*hum)-gtr*hdo*(3*hdo+8*hum))*gum*hdo^2-2*edo*(2*etr*gdo*(5*hdo^3+18*hdo^2*hum+21*hdo*hum^2+8*hum^3)-eum*(3*gdo*(2*hdo^2+9*hdo*hum+8*hum^2)-gtr*hdo*(2*hdo+9*hum))*hum)*gum*hdo+8*etr^2*gdo*gum*(hdo^2+2*hdo*hum+hum^2)^2-4*etr*eum*gdo*gum*(2*hdo^3+9*hdo^2*hum+12*hdo*hum^2+5*hum^3)*hum-3*eum^2*(gdo*(gtr*hum-gum*(4*hdo+5*hum))+4*gtr*gum*hdo)*hum^3)*gci*gqu+40*n^4*(eci*hci+edo*hdo+equ*hqu-etr*(hci+hdo+hqu+hum)+eum*hum)*etr*gci*gdo*gqu*gum+20*n^3*(3*eci^2*hci^2+eci*(6*equ*hqu-etr*(7*hci+6*hqu))*hci-3*edo^2*hdo^2+edo*(etr*(7*hdo+8*hum)-6*eum*hum)*hdo+3*equ^2*hqu^2-equ*etr*(8*hci+7*hqu)*hqu+4*etr^2*(hci^2+2*hci*hqu-hdo^2-2*hdo*hum+hqu^2-hum^2)+etr*eum*(6*hdo+7*hum)*hum-3*eum^2*hum^2)*gci*gdo*gqu*gum-20*n^2*(eci^2*(3*gci*(gqu*(2*hci+hqu)-gtr*hqu)-gqu*gtr*hci)*gdo*gum*hci^2+3*eci*(equ*(gqu*(5*hci+3*hqu)-gtr*hqu)*hqu-etr*gqu*(3*hci^2+5*hci*hqu+2*hqu^2))*gci*gdo*gum*hci+(edo^2*(3*gdo*(2*hdo+3*hum)-gtr*hdo)*gqu*gum*hdo^2-3*edo*(etr*gdo*(3*hdo^2+7*hdo*hum+4*hum^2)-eum*(gdo*(3*hdo+5*hum)-gtr*hdo)*hum)*gqu*gum*hdo+equ^2*gdo*(3*gqu*(3*hci+2*hqu)-gtr*hqu)*gum*hqu^2-3*equ*etr*gdo*gqu*gum*(4*hci^2+7*hci*hqu+3*hqu^2)*hqu+(4*etr^2*gdo*gum*(hci^3+3*hci^2*hqu+3*hci*hqu^2+hdo^3+3*hdo^2*hum+3*hdo*hum^2+hqu^3+hum^3)-3*etr*eum*gdo*gum*(2*hdo^2+5*hdo*hum+3*hum^2)*hum-eum^2*(gdo*(gtr*hum-3*gum*(hdo+2*hum))+3*gtr*gum*hdo)*hum^2)*gqu)*gci)+5*n*(3*eci^2*(gci*(gqu*(5*hci+4*hqu)-4*gtr*hqu)-gqu*gtr*hci)*gdo*gum*hci^3+2*eci*(equ*(3*gqu*(8*hci^2+9*hci*hqu+2*hqu^2)-gtr*(9*hci+2*hqu)*hqu)*hqu-2*etr*gqu*(5*hci^3+12*hci^2*hqu+9*hci*hqu^2+2*hqu^3))*gci*gdo*gum*hci-(edo^2*(3*gdo*(hdo+2*hum)*(5*hdo+6*hum)-gtr*hdo*(3*hdo+8*hum))*gqu*gum*hdo^2-2*edo*(2*etr*gdo*(5*hdo^3+18*hdo^2*hum+21*hdo*hum^2+8*hum^3)-eum*(3*gdo*(2*hdo^2+9*hdo*hum+8*hum^2)-gtr*hdo*(2*hdo+9*hum))*hum)*gqu*gum*hdo-equ^2*gdo*(3*gqu*(2*hci+hqu)*(6*hci+5*hqu)-gtr*(8*hci+3*hqu)*hqu)*gum*hqu^2+4*equ*etr*gdo*gqu*gum*(8*hci^3+21*hci^2*hqu+18*hci*hqu^2+5*hqu^3)*hqu-(8*etr^2*gdo*gum*(hci^4+4*hci^3*hqu+6*hci^2*hqu^2+4*hci*hqu^3-hdo^4-4*hdo^3*hum-6*hdo^2*hum^2-4*hdo*hum^3+hqu^4-hum^4)+4*etr*eum*gdo*gum*(2*hdo^3+9*hdo^2*hum+12*hdo*hum^2+5*hum^3)*hum+3*eum^2*(gdo*(gtr*hum-gum*(4*hdo+5*hum))+4*gtr*gum*hdo)*hum^3)*gqu)*gci)-3*eci^2*(5*gci*(gqu*(hci+hqu)-gtr*hqu)-gqu*gtr*hci)*gdo*gum*hci^4-10*eci*(equ*(3*gqu*(hci+hqu)*(2*hci+hqu)-gtr*(3*hci+hqu)*hqu)*hqu-2*etr*gqu*(hci+hqu)*(hci^2+2*hci*hqu+hqu^2))*gci*gdo*gum*hci^2-(edo^2*(15*gdo*(hdo+hum)*(hdo+2*hum)^2-gtr*hdo*(3*hdo^2+15*hdo*hum+20*hum^2))*gqu*gum*hdo^2-10*edo*(2*etr*gdo*(hdo+hum)*(hdo+2*hum)*(hdo^2+2*hdo*hum+hum^2)-eum*(3*gdo*(hdo+hum)*(hdo+2*hum)-gtr*hdo*(hdo+3*hum))*hum^2)*gqu*gum*hdo+equ^2*gdo*(15*gqu*(hci+hqu)*(2*hci+hqu)^2-gtr*(20*hci^2+15*hci*hqu+3*hqu^2)*hqu)*gum*hqu^2-20*equ*etr*gdo*gqu*gum*(hci+hqu)*(2*hci+hqu)*(hci^2+2*hci*hqu+hqu^2)*hqu+(8*etr^2*gdo*gum*(hci^5+5*hci^4*hqu+10*hci^3*hqu^2+10*hci^2*hqu^3+5*hci*hqu^4+hdo^5+5*hdo^4*hum+10*hdo^3*hum^2+10*hdo^2*hum^3+5*hdo*hum^4+hqu^5+hum^5)-20*etr*eum*gdo*gum*(hdo+hum)*(hdo^2+2*hdo*hum+hum^2)*hum^2-3*eum^2*(gdo*(gtr*hum-5*gum*(hdo+hum))+5*gtr*gum*hdo)*hum^4)*gqu)*gci))</f>
        <v>1337931.2803249313</v>
      </c>
      <c r="H26" s="15"/>
      <c r="J26" s="48"/>
      <c r="L26" s="42"/>
      <c r="N26" s="48"/>
      <c r="O26" s="45"/>
      <c r="P26" s="48"/>
    </row>
    <row r="27" spans="1:16" s="16" customFormat="1" ht="15.6" x14ac:dyDescent="0.35">
      <c r="A27" s="17"/>
      <c r="B27" s="15"/>
      <c r="D27" s="39" t="s">
        <v>51</v>
      </c>
      <c r="E27" s="48"/>
      <c r="F27" s="18"/>
      <c r="G27" s="10"/>
    </row>
    <row r="28" spans="1:16" x14ac:dyDescent="0.3">
      <c r="A28" s="144" t="s">
        <v>45</v>
      </c>
      <c r="B28" s="144"/>
      <c r="C28" s="144"/>
    </row>
    <row r="29" spans="1:16" ht="15" thickBot="1" x14ac:dyDescent="0.35">
      <c r="A29" s="42"/>
      <c r="B29" s="42"/>
    </row>
    <row r="30" spans="1:16" ht="15" thickBot="1" x14ac:dyDescent="0.35">
      <c r="A30" s="42" t="s">
        <v>64</v>
      </c>
      <c r="B30" s="77">
        <f>ULS!B38</f>
        <v>3.7994019999999997</v>
      </c>
      <c r="C30" s="51" t="s">
        <v>49</v>
      </c>
      <c r="G30" s="46"/>
      <c r="H30" s="51"/>
      <c r="J30" s="56"/>
    </row>
    <row r="31" spans="1:16" x14ac:dyDescent="0.3">
      <c r="A31" s="42"/>
      <c r="B31" s="42"/>
    </row>
    <row r="32" spans="1:16" x14ac:dyDescent="0.3">
      <c r="A32" s="144" t="s">
        <v>70</v>
      </c>
      <c r="B32" s="144"/>
      <c r="C32" s="144"/>
      <c r="D32" s="46"/>
    </row>
    <row r="33" spans="1:6" x14ac:dyDescent="0.3">
      <c r="B33" s="49"/>
      <c r="F33" s="49"/>
    </row>
    <row r="34" spans="1:6" x14ac:dyDescent="0.3">
      <c r="A34" s="50" t="s">
        <v>46</v>
      </c>
      <c r="B34" s="8">
        <f>5*B30*C11^4/(384*kclt)</f>
        <v>1.4031990683451399</v>
      </c>
      <c r="C34" s="48" t="s">
        <v>12</v>
      </c>
      <c r="D34" s="53">
        <f>B34/B37</f>
        <v>6.4641838425695125E-2</v>
      </c>
    </row>
    <row r="35" spans="1:6" x14ac:dyDescent="0.3">
      <c r="A35" s="50" t="s">
        <v>47</v>
      </c>
      <c r="B35" s="8">
        <f>B30*C11^2/8/F26</f>
        <v>12.778914172518435</v>
      </c>
      <c r="C35" s="48" t="s">
        <v>12</v>
      </c>
      <c r="D35" s="53">
        <f>B35/B37</f>
        <v>0.5886923130372127</v>
      </c>
    </row>
    <row r="36" spans="1:6" x14ac:dyDescent="0.3">
      <c r="A36" s="50" t="s">
        <v>71</v>
      </c>
      <c r="B36" s="69">
        <f>SLS_inst!B36</f>
        <v>7.5251757614146788</v>
      </c>
      <c r="D36" s="53"/>
    </row>
    <row r="37" spans="1:6" x14ac:dyDescent="0.3">
      <c r="A37" s="50" t="s">
        <v>48</v>
      </c>
      <c r="B37" s="69">
        <f>B34+B35+B36</f>
        <v>21.707289002278255</v>
      </c>
      <c r="C37" s="48" t="s">
        <v>12</v>
      </c>
    </row>
    <row r="38" spans="1:6" ht="15.6" x14ac:dyDescent="0.3">
      <c r="B38" s="55"/>
      <c r="C38" s="12" t="str">
        <f>IF(B37&gt;B40,"NÃO VERIFICA","OK")</f>
        <v>OK</v>
      </c>
      <c r="D38" s="78"/>
    </row>
    <row r="40" spans="1:6" x14ac:dyDescent="0.3">
      <c r="A40" s="50" t="s">
        <v>50</v>
      </c>
      <c r="B40" s="62">
        <f>C11/150</f>
        <v>40</v>
      </c>
      <c r="C40" s="50" t="s">
        <v>67</v>
      </c>
      <c r="E40" s="45"/>
    </row>
  </sheetData>
  <sheetProtection algorithmName="SHA-512" hashValue="az6Y1H1RpozaUG82mZ5AKNa9eE5cj+oVoxOxoBR6bHiYR4hxXyBU6E/wx/sFOSaL1C+QSXLAIpCeQ3Bt1S2SBw==" saltValue="nLf0fDf1O2GaxWxbUYW7Rg==" spinCount="100000" sheet="1" objects="1" scenarios="1"/>
  <mergeCells count="7">
    <mergeCell ref="A32:C32"/>
    <mergeCell ref="A2:C2"/>
    <mergeCell ref="E2:E3"/>
    <mergeCell ref="F2:F4"/>
    <mergeCell ref="G2:G4"/>
    <mergeCell ref="A17:C17"/>
    <mergeCell ref="A28:C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57</vt:i4>
      </vt:variant>
    </vt:vector>
  </HeadingPairs>
  <TitlesOfParts>
    <vt:vector size="60" baseType="lpstr">
      <vt:lpstr>ULS</vt:lpstr>
      <vt:lpstr>SLS_inst</vt:lpstr>
      <vt:lpstr>SLS_fin</vt:lpstr>
      <vt:lpstr>SLS_fin!b</vt:lpstr>
      <vt:lpstr>SLS_inst!b</vt:lpstr>
      <vt:lpstr>ULS!b</vt:lpstr>
      <vt:lpstr>SLS_fin!eci</vt:lpstr>
      <vt:lpstr>SLS_inst!eci</vt:lpstr>
      <vt:lpstr>ULS!eci</vt:lpstr>
      <vt:lpstr>SLS_fin!edo</vt:lpstr>
      <vt:lpstr>SLS_inst!edo</vt:lpstr>
      <vt:lpstr>ULS!edo</vt:lpstr>
      <vt:lpstr>SLS_fin!equ</vt:lpstr>
      <vt:lpstr>SLS_inst!equ</vt:lpstr>
      <vt:lpstr>ULS!equ</vt:lpstr>
      <vt:lpstr>SLS_fin!etr</vt:lpstr>
      <vt:lpstr>SLS_inst!etr</vt:lpstr>
      <vt:lpstr>ULS!etr</vt:lpstr>
      <vt:lpstr>SLS_fin!eum</vt:lpstr>
      <vt:lpstr>SLS_inst!eum</vt:lpstr>
      <vt:lpstr>ULS!eum</vt:lpstr>
      <vt:lpstr>SLS_fin!gci</vt:lpstr>
      <vt:lpstr>SLS_inst!gci</vt:lpstr>
      <vt:lpstr>ULS!gci</vt:lpstr>
      <vt:lpstr>SLS_fin!gdo</vt:lpstr>
      <vt:lpstr>SLS_inst!gdo</vt:lpstr>
      <vt:lpstr>ULS!gdo</vt:lpstr>
      <vt:lpstr>SLS_fin!gqu</vt:lpstr>
      <vt:lpstr>SLS_inst!gqu</vt:lpstr>
      <vt:lpstr>ULS!gqu</vt:lpstr>
      <vt:lpstr>SLS_fin!gtr</vt:lpstr>
      <vt:lpstr>SLS_inst!gtr</vt:lpstr>
      <vt:lpstr>ULS!gtr</vt:lpstr>
      <vt:lpstr>SLS_fin!gum</vt:lpstr>
      <vt:lpstr>SLS_inst!gum</vt:lpstr>
      <vt:lpstr>ULS!gum</vt:lpstr>
      <vt:lpstr>SLS_fin!h</vt:lpstr>
      <vt:lpstr>SLS_inst!h</vt:lpstr>
      <vt:lpstr>ULS!h</vt:lpstr>
      <vt:lpstr>SLS_fin!hci</vt:lpstr>
      <vt:lpstr>SLS_inst!hci</vt:lpstr>
      <vt:lpstr>ULS!hci</vt:lpstr>
      <vt:lpstr>SLS_fin!hdo</vt:lpstr>
      <vt:lpstr>SLS_inst!hdo</vt:lpstr>
      <vt:lpstr>ULS!hdo</vt:lpstr>
      <vt:lpstr>SLS_fin!hqu</vt:lpstr>
      <vt:lpstr>SLS_inst!hqu</vt:lpstr>
      <vt:lpstr>ULS!hqu</vt:lpstr>
      <vt:lpstr>SLS_fin!htr</vt:lpstr>
      <vt:lpstr>SLS_inst!htr</vt:lpstr>
      <vt:lpstr>ULS!htr</vt:lpstr>
      <vt:lpstr>SLS_fin!hum</vt:lpstr>
      <vt:lpstr>SLS_inst!hum</vt:lpstr>
      <vt:lpstr>ULS!hum</vt:lpstr>
      <vt:lpstr>SLS_fin!kclt</vt:lpstr>
      <vt:lpstr>SLS_inst!kclt</vt:lpstr>
      <vt:lpstr>ULS!kclt</vt:lpstr>
      <vt:lpstr>SLS_fin!n</vt:lpstr>
      <vt:lpstr>SLS_inst!n</vt:lpstr>
      <vt:lpstr>ULS!n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Coimbra</dc:creator>
  <cp:lastModifiedBy>Pedro</cp:lastModifiedBy>
  <dcterms:created xsi:type="dcterms:W3CDTF">2012-03-27T21:22:08Z</dcterms:created>
  <dcterms:modified xsi:type="dcterms:W3CDTF">2020-11-11T10:21:18Z</dcterms:modified>
</cp:coreProperties>
</file>